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6nthtamhf5Jdiozcq5umR7wRjHoP7DsXGUQcUBuuSguoBsT9YLGEvhy1xQABw9ll/wd0+1WBrFyGOGxOS0HmLg==" workbookSaltValue="aa/LWuIgAAxrcFNrpm8x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N9" i="11" s="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P20" i="19"/>
  <c r="BE11" i="13"/>
  <c r="BD18" i="8"/>
  <c r="BF18" i="8"/>
  <c r="BC13" i="13"/>
  <c r="N10" i="11"/>
  <c r="ES20" i="8"/>
  <c r="C19" i="7"/>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AC20" i="8" l="1"/>
  <c r="B19" i="2"/>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AL12" i="11"/>
  <c r="D17" i="6"/>
  <c r="F12" i="2"/>
  <c r="AL11" i="11"/>
  <c r="AN15" i="11"/>
  <c r="D15" i="6"/>
  <c r="BF11" i="8"/>
  <c r="J11" i="7" s="1"/>
  <c r="AO17" i="11"/>
  <c r="B11" i="6"/>
  <c r="C17" i="6"/>
  <c r="I11" i="7"/>
  <c r="J9" i="2"/>
  <c r="L17" i="14"/>
  <c r="H18" i="2"/>
  <c r="D9" i="12"/>
  <c r="E9" i="12"/>
  <c r="B12" i="6"/>
  <c r="BE9" i="8"/>
  <c r="I9" i="7" s="1"/>
  <c r="H17" i="7"/>
  <c r="T19" i="17"/>
  <c r="E19" i="2"/>
  <c r="F19" i="2" s="1"/>
  <c r="E17" i="6"/>
  <c r="B17" i="6"/>
  <c r="R8" i="9"/>
  <c r="BH19" i="26" s="1"/>
  <c r="AL17" i="11"/>
  <c r="BG9" i="8"/>
  <c r="F11" i="12"/>
  <c r="H9" i="2"/>
  <c r="AN9" i="11"/>
  <c r="D9" i="6"/>
  <c r="C9" i="6"/>
  <c r="C18" i="6"/>
  <c r="I18" i="12" s="1"/>
  <c r="L18" i="14"/>
  <c r="W13" i="17"/>
  <c r="C15" i="6"/>
  <c r="S18" i="16"/>
  <c r="BV12" i="16"/>
  <c r="BM17" i="11"/>
  <c r="AF13" i="21"/>
  <c r="AF20" i="21" s="1"/>
  <c r="X15" i="16"/>
  <c r="X19" i="16" s="1"/>
  <c r="E18" i="6"/>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V1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K18" i="12" l="1"/>
  <c r="H19" i="2"/>
  <c r="K12" i="12"/>
  <c r="J9" i="12"/>
  <c r="BM20" i="26"/>
  <c r="BL21" i="26"/>
  <c r="S16" i="16"/>
  <c r="AP16" i="27"/>
  <c r="BU16" i="17"/>
  <c r="Q16" i="17"/>
  <c r="BV16" i="26"/>
  <c r="BH16" i="26"/>
  <c r="T16" i="26"/>
  <c r="BM16" i="11"/>
  <c r="BK16" i="11"/>
  <c r="BI16" i="11"/>
  <c r="BG16" i="11"/>
  <c r="V16" i="11"/>
  <c r="BL16" i="11"/>
  <c r="BH16" i="11"/>
  <c r="BF16" i="11"/>
  <c r="AP16" i="20"/>
  <c r="BV16" i="16"/>
  <c r="BH16" i="16"/>
  <c r="T16" i="16"/>
  <c r="BW16" i="27"/>
  <c r="P16" i="17"/>
  <c r="S16" i="26"/>
  <c r="BJ16" i="11"/>
  <c r="T16" i="11"/>
  <c r="S16" i="17"/>
  <c r="X16" i="16"/>
  <c r="L16" i="2"/>
  <c r="V16" i="26"/>
  <c r="S16" i="14"/>
  <c r="V16" i="14" s="1"/>
  <c r="U16" i="17"/>
  <c r="V16" i="16"/>
  <c r="AA16" i="16"/>
  <c r="AO16" i="17"/>
  <c r="AM16" i="11"/>
  <c r="AA16" i="26"/>
  <c r="X16" i="17"/>
  <c r="V16" i="20"/>
  <c r="R16" i="14"/>
  <c r="AZ16" i="11"/>
  <c r="X16" i="26"/>
  <c r="V16" i="27"/>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V15" i="26"/>
  <c r="AA9" i="26"/>
  <c r="AA10" i="26"/>
  <c r="AA11" i="26"/>
  <c r="AA15" i="26"/>
  <c r="V18" i="26"/>
  <c r="V9" i="26"/>
  <c r="X11" i="26"/>
  <c r="AA12" i="26"/>
  <c r="V17" i="26"/>
  <c r="X18" i="26"/>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S19" i="26" l="1"/>
  <c r="S20" i="26" s="1"/>
  <c r="T19" i="26"/>
  <c r="T20" i="26" s="1"/>
  <c r="BV19" i="26"/>
  <c r="Q16" i="11"/>
  <c r="P16" i="11"/>
  <c r="V19" i="26"/>
  <c r="X20" i="26"/>
  <c r="X13" i="26"/>
  <c r="BV13" i="26"/>
  <c r="BV20" i="26" s="1"/>
  <c r="BV22"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18" i="14" l="1"/>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I21" i="16"/>
  <c r="Q21" i="16"/>
  <c r="J21" i="12"/>
  <c r="BD21" i="21"/>
  <c r="X21" i="17"/>
  <c r="BN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D21" i="16"/>
  <c r="AD21" i="17"/>
  <c r="AP21" i="21"/>
  <c r="AR21" i="20"/>
  <c r="N21" i="21"/>
  <c r="BH21" i="16"/>
  <c r="Y21" i="21"/>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<sst xmlns="http://schemas.openxmlformats.org/spreadsheetml/2006/main" count="2499" uniqueCount="1026">
  <si>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</si>
  <si>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</si>
  <si>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</si>
  <si>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</si>
  <si>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</si>
  <si>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</si>
  <si>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</si>
  <si>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</si>
  <si>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</si>
  <si>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</si>
  <si>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</si>
  <si>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</si>
  <si>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</si>
  <si>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</si>
  <si>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</si>
  <si>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</si>
  <si>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</si>
  <si>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</si>
  <si>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</si>
  <si>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</si>
  <si>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</si>
  <si>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</si>
  <si>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</si>
  <si>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</si>
  <si>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</si>
  <si>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</si>
  <si>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</si>
  <si>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</si>
  <si>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</si>
  <si>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</si>
  <si>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</si>
  <si>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</si>
  <si>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</si>
  <si>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</si>
  <si>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</si>
  <si>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</si>
  <si>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</si>
  <si>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</si>
  <si>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</si>
  <si>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</si>
  <si>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</si>
  <si>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</si>
  <si>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</si>
  <si>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</si>
  <si>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</si>
  <si>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</si>
  <si>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</si>
  <si>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</si>
  <si>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</si>
  <si>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</si>
  <si>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</si>
  <si>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</si>
  <si>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</si>
  <si>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</si>
  <si>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</si>
  <si>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</si>
  <si>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</si>
  <si>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</si>
  <si>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</si>
  <si>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</si>
  <si>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</si>
  <si>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</si>
  <si>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</si>
  <si>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</si>
  <si>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</si>
  <si>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</si>
  <si>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</si>
  <si>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</si>
  <si>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</si>
  <si>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</si>
  <si>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</si>
  <si>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</si>
  <si>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</si>
  <si>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</si>
  <si>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</si>
  <si>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</si>
  <si>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</si>
  <si>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</si>
  <si>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</si>
  <si>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</si>
  <si>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</si>
  <si>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</si>
  <si>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</si>
  <si>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</si>
  <si>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</si>
  <si>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</si>
  <si>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</si>
  <si>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</si>
  <si>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</si>
  <si>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</si>
  <si>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</si>
  <si>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</si>
  <si>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</si>
  <si>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</si>
  <si>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</si>
  <si>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</si>
  <si>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</si>
  <si>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</si>
  <si>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</si>
  <si>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</si>
  <si>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</si>
  <si>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</si>
  <si>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</si>
  <si>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</si>
  <si>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</si>
  <si>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</si>
  <si>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</si>
  <si>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</si>
  <si>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</si>
  <si>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</si>
  <si>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</si>
  <si>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</si>
  <si>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</si>
  <si>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</si>
  <si>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</si>
  <si>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</si>
  <si>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</si>
  <si>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</si>
  <si>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</si>
  <si>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</si>
  <si>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</si>
  <si>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</si>
  <si>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</si>
  <si>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</si>
  <si>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</si>
  <si>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</si>
  <si>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</si>
  <si>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</si>
  <si>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</si>
  <si>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</si>
  <si>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</si>
  <si>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</si>
  <si>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</si>
  <si>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</si>
  <si>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</si>
  <si>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</si>
  <si>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</si>
  <si>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</si>
  <si>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</si>
  <si>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</si>
  <si>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</si>
  <si>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</si>
  <si>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</si>
  <si>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</si>
  <si>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</si>
  <si>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</si>
  <si>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</si>
  <si>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</si>
  <si>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</si>
  <si>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</si>
  <si>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</si>
  <si>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</si>
  <si>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</si>
  <si>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</si>
  <si>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</si>
  <si>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</si>
  <si>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</si>
  <si>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</si>
  <si>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</si>
  <si>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</si>
  <si>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</si>
  <si>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</si>
  <si>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</si>
  <si>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</si>
  <si>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</si>
  <si>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</si>
  <si>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</si>
  <si>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</si>
  <si>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</si>
  <si>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</si>
  <si>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</si>
  <si>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</si>
  <si>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</si>
  <si>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</si>
  <si>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</si>
  <si>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</si>
  <si>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</si>
  <si>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</si>
  <si>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</si>
  <si>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</si>
  <si>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</si>
  <si>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</si>
  <si>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</si>
  <si>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</si>
  <si>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</si>
  <si>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</si>
  <si>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</si>
  <si>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</si>
  <si>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</si>
  <si>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</si>
  <si>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</si>
  <si>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</si>
  <si>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</si>
  <si>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</si>
  <si>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</si>
  <si>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</si>
  <si>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</si>
  <si>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</si>
  <si>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</si>
  <si>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</si>
  <si>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</si>
  <si>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</si>
  <si>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</si>
  <si>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</si>
  <si>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</si>
  <si>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</si>
  <si>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</si>
  <si>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</si>
  <si>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</si>
  <si>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</si>
  <si>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</si>
  <si>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</si>
  <si>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</si>
  <si>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</si>
  <si>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</si>
  <si>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</si>
  <si>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</si>
  <si>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</si>
  <si>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</si>
  <si>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</si>
  <si>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</si>
  <si>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</si>
  <si>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</si>
  <si>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</si>
  <si>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</si>
  <si>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</si>
  <si>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</si>
  <si>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</si>
  <si>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</si>
  <si>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</si>
  <si>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</si>
  <si>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</si>
  <si>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</si>
  <si>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</si>
  <si>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</si>
  <si>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</si>
  <si>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</si>
  <si>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</si>
  <si>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</si>
  <si>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</si>
  <si>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</si>
  <si>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</si>
  <si>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</si>
  <si>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</si>
  <si>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</si>
  <si>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</si>
  <si>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</si>
  <si>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</si>
  <si>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</si>
  <si>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</si>
  <si>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</si>
  <si>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</si>
  <si>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</si>
  <si>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</si>
  <si>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</si>
  <si>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</si>
  <si>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</si>
  <si>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</si>
  <si>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</si>
  <si>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</si>
  <si>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</si>
  <si>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</si>
  <si>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</si>
  <si>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</si>
  <si>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</si>
  <si>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</si>
  <si>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</si>
  <si>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</si>
  <si>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</si>
  <si>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</si>
  <si>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</si>
  <si>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</si>
  <si>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</si>
  <si>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</si>
  <si>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</si>
  <si>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</si>
  <si>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</si>
  <si>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</si>
  <si>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</si>
  <si>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</si>
  <si>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</si>
  <si>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</si>
  <si>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</si>
  <si>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</si>
  <si>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</si>
  <si>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</si>
  <si>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</si>
  <si>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</si>
  <si>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</si>
  <si>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</si>
  <si>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</si>
  <si>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</si>
  <si>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</si>
  <si>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</si>
  <si>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</si>
  <si>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</si>
  <si>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</si>
  <si>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</si>
  <si>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</si>
  <si>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</si>
  <si>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</si>
  <si>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</si>
  <si>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</si>
  <si>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</si>
  <si>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</si>
  <si>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</si>
  <si>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</si>
  <si>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</si>
  <si>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</si>
  <si>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</si>
  <si>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</si>
  <si>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</si>
  <si>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</si>
  <si>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</si>
  <si>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</si>
  <si>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</si>
  <si>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</si>
  <si>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</si>
  <si>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</si>
  <si>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</si>
  <si>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</si>
  <si>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</si>
  <si>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</si>
  <si>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</si>
  <si>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</si>
  <si>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</si>
  <si>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</si>
  <si>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</si>
  <si>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</si>
  <si>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</si>
  <si>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</si>
  <si>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</si>
  <si>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</si>
  <si>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</si>
  <si>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</si>
  <si>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</si>
  <si>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</si>
  <si>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</si>
  <si>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</si>
  <si>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</si>
  <si>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</si>
  <si>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</si>
  <si>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</si>
  <si>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</si>
  <si>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</si>
  <si>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</si>
  <si>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</si>
  <si>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</si>
  <si>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</si>
  <si>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</si>
  <si>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</si>
  <si>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</si>
  <si>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</si>
  <si>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</si>
  <si>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</si>
  <si>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</si>
  <si>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</si>
  <si>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</si>
  <si>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</si>
  <si>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</si>
  <si>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</si>
  <si>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</si>
  <si>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</si>
  <si>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</si>
  <si>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</si>
  <si>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</si>
  <si>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</si>
  <si>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</si>
  <si>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</si>
  <si>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</si>
  <si>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</si>
  <si>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</si>
  <si>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</si>
  <si>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</si>
  <si>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</si>
  <si>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</si>
  <si>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</si>
  <si>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</si>
  <si>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</si>
  <si>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</si>
  <si>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</si>
  <si>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</si>
  <si>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</si>
  <si>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</si>
  <si>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</si>
  <si>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</si>
  <si>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</si>
  <si>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</si>
  <si>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</si>
  <si>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</si>
  <si>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</si>
  <si>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</si>
  <si>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</si>
  <si>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</si>
  <si>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</si>
  <si>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</si>
  <si>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</si>
  <si>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</si>
  <si>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</si>
  <si>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</si>
  <si>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</si>
  <si>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</si>
  <si>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</si>
  <si>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</si>
  <si>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</si>
  <si>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</si>
  <si>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</si>
  <si>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</si>
  <si>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</si>
  <si>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</si>
  <si>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</si>
  <si>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</si>
  <si>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</si>
  <si>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</si>
  <si>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</si>
  <si>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</si>
  <si>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</si>
  <si>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</si>
  <si>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</si>
  <si>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</si>
  <si>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</si>
  <si>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</si>
  <si>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</si>
  <si>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</si>
  <si>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</si>
  <si>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</si>
  <si>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</si>
  <si>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</si>
  <si>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</si>
  <si>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</si>
  <si>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</si>
  <si>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</si>
  <si>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</si>
  <si>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</si>
  <si>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</si>
  <si>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</si>
  <si>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</si>
  <si>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</si>
  <si>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</si>
  <si>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</si>
  <si>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</si>
  <si>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</si>
  <si>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</si>
  <si>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</si>
  <si>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</si>
  <si>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</si>
  <si>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</si>
  <si>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</si>
  <si>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</si>
  <si>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</si>
  <si>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</si>
  <si>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</si>
  <si>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</si>
  <si>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</si>
  <si>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</si>
  <si>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</si>
  <si>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</si>
  <si>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</si>
  <si>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</si>
  <si>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</si>
  <si>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</si>
  <si>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</si>
  <si>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</si>
  <si>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</si>
  <si>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</si>
  <si>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</si>
  <si>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</si>
  <si>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</si>
  <si>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</si>
  <si>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</si>
  <si>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</si>
  <si>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</si>
  <si>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</si>
  <si>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</si>
  <si>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</si>
  <si>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</si>
  <si>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</si>
  <si>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</si>
  <si>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</si>
  <si>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</si>
  <si>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</si>
  <si>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</si>
  <si>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</si>
  <si>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</si>
  <si>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</si>
  <si>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</si>
  <si>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</si>
  <si>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</si>
  <si>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</si>
  <si>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</si>
  <si>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</si>
  <si>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</si>
  <si>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</si>
  <si>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</si>
  <si>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</si>
  <si>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</si>
  <si>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</si>
  <si>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</si>
  <si>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</si>
  <si>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</si>
  <si>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</si>
  <si>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</si>
  <si>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</si>
  <si>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</si>
  <si>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</si>
  <si>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</si>
  <si>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</si>
  <si>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</si>
  <si>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</si>
  <si>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</si>
  <si>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</si>
  <si>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</si>
  <si>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</si>
  <si>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</si>
  <si>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</si>
  <si>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</si>
  <si>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</si>
  <si>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</si>
  <si>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</si>
  <si>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</si>
  <si>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</si>
  <si>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</si>
  <si>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</si>
  <si>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</si>
  <si>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</si>
  <si>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</si>
  <si>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</si>
  <si>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</si>
  <si>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</si>
  <si>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</si>
  <si>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</si>
  <si>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</si>
  <si>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</si>
  <si>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</si>
  <si>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</si>
  <si>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</si>
  <si>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</si>
  <si>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</si>
  <si>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</si>
  <si>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</si>
  <si>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</si>
  <si>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</si>
  <si>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</si>
  <si>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</si>
  <si>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</si>
  <si>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</si>
  <si>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</si>
  <si>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</si>
  <si>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</si>
  <si>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</si>
  <si>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</si>
  <si>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</si>
  <si>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</si>
  <si>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</si>
  <si>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</si>
  <si>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</si>
  <si>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</si>
  <si>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</si>
  <si>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</si>
  <si>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</si>
  <si>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</si>
  <si>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</si>
  <si>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</si>
  <si>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</si>
  <si>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</si>
  <si>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</si>
  <si>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</si>
  <si>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</si>
  <si>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</si>
  <si>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</si>
  <si>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</si>
  <si>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</si>
  <si>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</si>
  <si>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</si>
  <si>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</si>
  <si>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</si>
  <si>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</si>
  <si>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</si>
  <si>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</si>
  <si>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</si>
  <si>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</si>
  <si>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</si>
  <si>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</si>
  <si>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</si>
  <si>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</si>
  <si>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</si>
  <si>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</si>
  <si>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</si>
  <si>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</si>
  <si>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</si>
  <si>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</si>
  <si>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</si>
  <si>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</si>
  <si>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</si>
  <si>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</si>
  <si>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</si>
  <si>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</si>
  <si>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</si>
  <si>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</si>
  <si>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</si>
  <si>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</si>
  <si>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</si>
  <si>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</si>
  <si>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</si>
  <si>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</si>
  <si>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</si>
  <si>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</si>
  <si>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</si>
  <si>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</si>
  <si>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</si>
  <si>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</si>
  <si>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</si>
  <si>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</si>
  <si>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</si>
  <si>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</si>
  <si>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</si>
  <si>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</si>
  <si>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</si>
  <si>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</si>
  <si>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</si>
  <si>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</si>
  <si>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</si>
  <si>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</si>
  <si>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</si>
  <si>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</si>
  <si>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</si>
  <si>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</si>
  <si>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</si>
  <si>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</si>
  <si>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</si>
  <si>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</si>
  <si>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</si>
  <si>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</si>
  <si>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</si>
  <si>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</si>
  <si>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</si>
  <si>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</si>
  <si>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</si>
  <si>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</si>
  <si>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</si>
  <si>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</si>
  <si>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</si>
  <si>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</si>
  <si>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</si>
  <si>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</si>
  <si>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</si>
  <si>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</si>
  <si>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</si>
  <si>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</si>
  <si>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</si>
  <si>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</si>
  <si>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</si>
  <si>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</si>
  <si>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</si>
  <si>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</si>
  <si>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</si>
  <si>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</si>
  <si>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</si>
  <si>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</si>
  <si>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</si>
  <si>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</si>
  <si>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</si>
  <si>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</si>
  <si>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</si>
  <si>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</si>
  <si>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</si>
  <si>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</si>
  <si>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</si>
  <si>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</si>
  <si>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</si>
  <si>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</si>
  <si>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</si>
  <si>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</si>
  <si>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</si>
  <si>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</si>
  <si>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</si>
  <si>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</si>
  <si>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</si>
  <si>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</si>
  <si>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</si>
  <si>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</si>
  <si>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</si>
  <si>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</si>
  <si>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</si>
  <si>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</si>
  <si>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</si>
  <si>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</si>
  <si>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</si>
  <si>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</si>
  <si>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</si>
  <si>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</si>
  <si>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</si>
  <si>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</si>
  <si>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</si>
  <si>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</si>
  <si>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</si>
  <si>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</si>
  <si>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</si>
  <si>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</si>
  <si>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</si>
  <si>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</si>
  <si>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</si>
  <si>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</si>
  <si>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</si>
  <si>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</si>
  <si>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</si>
  <si>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</si>
  <si>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</si>
  <si>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</si>
  <si>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</si>
  <si>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</si>
  <si>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</si>
  <si>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</si>
  <si>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</si>
  <si>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</si>
  <si>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</si>
  <si>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</si>
  <si>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</si>
  <si>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</si>
  <si>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</si>
  <si>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</si>
  <si>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</si>
  <si>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</si>
  <si>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</si>
  <si>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</si>
  <si>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</si>
  <si>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</si>
  <si>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</si>
  <si>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</si>
  <si>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</si>
  <si>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</si>
  <si>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</si>
  <si>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</si>
  <si>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</si>
  <si>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</si>
  <si>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</si>
  <si>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</si>
  <si>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</si>
  <si>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</si>
  <si>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</si>
  <si>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</si>
  <si>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</si>
  <si>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</si>
  <si>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</si>
  <si>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</si>
  <si>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</si>
  <si>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</si>
  <si>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</si>
  <si>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</si>
  <si>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</si>
  <si>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</si>
  <si>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</si>
  <si>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</si>
  <si>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</si>
  <si>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</si>
  <si>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</si>
  <si>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</si>
  <si>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</si>
  <si>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</si>
  <si>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</si>
  <si>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</si>
  <si>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</si>
  <si>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</si>
  <si>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</si>
  <si>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</si>
  <si>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</si>
  <si>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</si>
  <si>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</si>
  <si>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</si>
  <si>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</si>
  <si>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</si>
  <si>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</si>
  <si>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</si>
  <si>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</si>
  <si>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</si>
  <si>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</si>
  <si>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</si>
  <si>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</si>
  <si>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</si>
  <si>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</si>
  <si>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</si>
  <si>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</si>
  <si>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</si>
  <si>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</si>
  <si>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</si>
  <si>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</si>
  <si>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</si>
  <si>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</si>
  <si>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</si>
  <si>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</si>
  <si>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</si>
  <si>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</si>
  <si>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</si>
  <si>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</si>
  <si>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</si>
  <si>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</si>
  <si>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</si>
  <si>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</si>
  <si>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</si>
  <si>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</si>
  <si>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</si>
  <si>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</si>
  <si>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</si>
  <si>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</si>
  <si>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</si>
  <si>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</si>
  <si>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</si>
  <si>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</si>
  <si>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</si>
  <si>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</si>
  <si>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</si>
  <si>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</si>
  <si>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</si>
  <si>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</si>
  <si>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</si>
  <si>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</si>
  <si>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</si>
  <si>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</si>
  <si>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</si>
  <si>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</si>
  <si>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</si>
  <si>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</si>
  <si>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</si>
  <si>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</si>
  <si>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</si>
  <si>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</si>
  <si>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</si>
  <si>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</si>
  <si>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</si>
  <si>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</si>
  <si>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</si>
  <si>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</si>
  <si>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</si>
  <si>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</si>
  <si>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</si>
  <si>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</si>
  <si>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</si>
  <si>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</si>
  <si>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</si>
  <si>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</si>
  <si>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</si>
  <si>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</si>
  <si>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</si>
  <si>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</si>
  <si>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</si>
  <si>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</si>
  <si>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</si>
  <si>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</si>
  <si>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</si>
  <si>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</si>
  <si>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</si>
  <si>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</si>
  <si>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</si>
  <si>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</si>
  <si>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</si>
  <si>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</si>
  <si>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</si>
  <si>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</si>
  <si>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</si>
  <si>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</si>
  <si>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</si>
  <si>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</si>
  <si>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</si>
  <si>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</si>
  <si>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</si>
  <si>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</si>
  <si>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</si>
  <si>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</si>
  <si>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</si>
  <si>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</si>
  <si>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</si>
  <si>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</si>
  <si>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</si>
  <si>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</si>
  <si>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</si>
  <si>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</si>
  <si>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</si>
  <si>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</si>
  <si>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</si>
  <si>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</si>
  <si>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</si>
  <si>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</si>
  <si>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</si>
  <si>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</si>
  <si>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</si>
  <si>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</si>
  <si>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</si>
  <si>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</si>
  <si>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</si>
  <si>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</si>
  <si>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</si>
  <si>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</si>
  <si>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</si>
  <si>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</si>
  <si>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</si>
  <si>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</si>
  <si>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</si>
  <si>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</si>
  <si>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</si>
  <si>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</si>
  <si>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</si>
  <si>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</si>
  <si>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</si>
  <si>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</si>
  <si>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</si>
  <si>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</si>
  <si>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</si>
  <si>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</si>
  <si>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</si>
  <si>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</si>
  <si>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</si>
  <si>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</si>
  <si>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</si>
  <si>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</si>
  <si>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</si>
  <si>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</si>
  <si>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</si>
  <si>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</si>
  <si>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</si>
  <si>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</si>
  <si>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</si>
  <si>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</si>
  <si>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</si>
  <si>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</si>
  <si>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</si>
  <si>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</si>
  <si>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</si>
  <si>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</si>
  <si>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</si>
  <si>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</si>
  <si>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</si>
  <si>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</si>
  <si>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</si>
  <si>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</si>
  <si>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</si>
  <si>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</si>
  <si>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</si>
  <si>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</si>
  <si>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</si>
  <si>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</si>
  <si>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</si>
  <si>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</si>
  <si>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</si>
  <si>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</si>
  <si>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</si>
  <si>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</si>
  <si>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</si>
  <si>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</si>
  <si>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</si>
  <si>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</si>
  <si>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</si>
  <si>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</si>
  <si>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</si>
  <si>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</si>
  <si>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</si>
  <si>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</si>
  <si>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</si>
  <si>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</si>
  <si>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</si>
  <si>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</si>
  <si>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</si>
  <si>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</si>
  <si>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</si>
  <si>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</si>
  <si>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</si>
  <si>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</si>
  <si>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</si>
  <si>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</si>
  <si>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</si>
  <si>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</si>
  <si>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</si>
  <si>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</si>
  <si>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</si>
  <si>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</si>
  <si>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</si>
  <si>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</si>
  <si>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</si>
  <si>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</si>
  <si>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</si>
  <si>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</si>
  <si>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</si>
  <si>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</si>
  <si>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</si>
  <si>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</si>
  <si>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</si>
  <si>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</si>
  <si>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</si>
  <si>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</si>
  <si>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</si>
  <si>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</si>
  <si>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</si>
  <si>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</si>
  <si>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</si>
  <si>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</si>
  <si>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</si>
  <si>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</si>
  <si>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</si>
  <si>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</si>
  <si>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</si>
  <si>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</si>
  <si>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</si>
  <si>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</si>
  <si>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</si>
  <si>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</si>
  <si>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</si>
  <si>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</si>
  <si>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</si>
  <si>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</si>
  <si>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</si>
  <si>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</si>
  <si>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</si>
  <si>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</si>
  <si>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</si>
  <si>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</si>
  <si>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</si>
  <si>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</si>
  <si>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</si>
  <si>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</si>
  <si>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</si>
  <si>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</si>
  <si>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</si>
  <si>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</si>
  <si>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</si>
  <si>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LEON</t>
  </si>
  <si>
    <t>Resumenes por Partidos Judiciales</t>
  </si>
  <si>
    <t>PONFERRADA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</si>
</sst>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ubFNUD9xYxRw8iBcDDtGbUhhJxiJBWp//7xYRiGrFd+FaWzZABkcy0uR8q2G8jn+4q/EfeTepV0pH2ju+VDBiQ==" saltValue="ZaMlxQ1A8NdWqzh8hGqXi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6</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13.305608365019012</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43</v>
      </c>
      <c r="D10" s="224">
        <f>IF(ISNUMBER(Datos!I10),Datos!I10," - ")</f>
        <v>48</v>
      </c>
      <c r="E10" s="225">
        <f>IF(ISNUMBER(Datos!J10),Datos!J10," - ")</f>
        <v>27</v>
      </c>
      <c r="F10" s="225">
        <f>IF(ISNUMBER(Datos!K10),Datos!K10," - ")</f>
        <v>8</v>
      </c>
      <c r="G10" s="1029" t="str">
        <f>IF(Datos!E10&lt;&gt;"",Datos!E10,Datos!D10)</f>
        <v>37</v>
      </c>
      <c r="H10" s="226">
        <f>IF(ISNUMBER(Datos!L10),Datos!L10," - ")</f>
        <v>62</v>
      </c>
      <c r="I10" s="1039" t="str">
        <f>IF(ISNUMBER(Datos!AS10/Datos!BM10),Datos!AS10/Datos!BM10," - ")</f>
        <v xml:space="preserve"> - </v>
      </c>
      <c r="J10" s="1040">
        <f>IF(ISNUMBER(Datos!BY10/Datos!CN10),Datos!BY10/Datos!CN10," - ")</f>
        <v>0</v>
      </c>
      <c r="K10" s="229">
        <f t="shared" ref="K10:K12" si="1">IF(ISNUMBER((E10-F10)/C10),(E10-F10)/C10," - ")</f>
        <v>0.44186046511627908</v>
      </c>
      <c r="L10" s="1020">
        <f>IF(ISNUMBER(NºAsuntos!I10/NºAsuntos!G10),(NºAsuntos!I10/NºAsuntos!G10)*11," - ")</f>
        <v>85.25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38.5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43</v>
      </c>
      <c r="D13" s="1044">
        <f>SUBTOTAL(9,D9:D12)</f>
        <v>48</v>
      </c>
      <c r="E13" s="1045">
        <f>SUBTOTAL(9,E9:E12)</f>
        <v>27</v>
      </c>
      <c r="F13" s="1046">
        <f>SUBTOTAL(9,F9:F12)</f>
        <v>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3</v>
      </c>
      <c r="B15" s="501" t="str">
        <f>Datos!A15</f>
        <v xml:space="preserve">Seccion Instruccion Del T.I.                   </v>
      </c>
      <c r="C15" s="224">
        <f t="shared" ref="C15:C18" si="2">IF(ISNUMBER(H15-E15+F15),H15-E15+F15," - ")</f>
        <v>2019</v>
      </c>
      <c r="D15" s="224">
        <f>IF(ISNUMBER(IF(D_I="SI",Datos!I15,Datos!I15+Datos!AC15)),IF(D_I="SI",Datos!I15,Datos!I15+Datos!AC15)," - ")</f>
        <v>1846</v>
      </c>
      <c r="E15" s="225">
        <f>IF(ISNUMBER(IF(D_I="SI",Datos!J15,Datos!J15+Datos!AD15)),IF(D_I="SI",Datos!J15,Datos!J15+Datos!AD15)," - ")</f>
        <v>1243</v>
      </c>
      <c r="F15" s="225">
        <f>IF(ISNUMBER(IF(D_I="SI",Datos!K15,Datos!K15+Datos!AE15)),IF(D_I="SI",Datos!K15,Datos!K15+Datos!AE15)," - ")</f>
        <v>1296</v>
      </c>
      <c r="G15" s="1029" t="str">
        <f>IF(Datos!E15&lt;&gt;"",Datos!E15,Datos!D15)</f>
        <v>03</v>
      </c>
      <c r="H15" s="226">
        <f>IF(ISNUMBER(IF(D_I="SI",Datos!L15,Datos!L15+Datos!AF15)),IF(D_I="SI",Datos!L15,Datos!L15+Datos!AF15)," - ")</f>
        <v>1966</v>
      </c>
      <c r="I15" s="1039" t="str">
        <f>IF(ISNUMBER(Datos!AS15/Datos!BM15),Datos!AS15/Datos!BM15," - ")</f>
        <v xml:space="preserve"> - </v>
      </c>
      <c r="J15" s="1040">
        <f>IF(ISNUMBER(Datos!BY15/Datos!CN15),Datos!BY15/Datos!CN15," - ")</f>
        <v>0</v>
      </c>
      <c r="K15" s="229">
        <f t="shared" ref="K15:K18" si="3">IF(ISNUMBER((E15-F15)/C15),(E15-F15)/C15," - ")</f>
        <v>-2.6250619118375434E-2</v>
      </c>
      <c r="L15" s="1020">
        <f>IF(ISNUMBER(NºAsuntos!I15/NºAsuntos!G15),(NºAsuntos!I15/NºAsuntos!G15)*11," - ")</f>
        <v>16.686728395061728</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f t="shared" si="2"/>
        <v>71</v>
      </c>
      <c r="D17" s="224">
        <f>IF(ISNUMBER(IF(D_I="SI",Datos!I17,Datos!I17+Datos!AC17)),IF(D_I="SI",Datos!I17,Datos!I17+Datos!AC17)," - ")</f>
        <v>77</v>
      </c>
      <c r="E17" s="225">
        <f>IF(ISNUMBER(IF(D_I="SI",Datos!J17,Datos!J17+Datos!AD17)),IF(D_I="SI",Datos!J17,Datos!J17+Datos!AD17)," - ")</f>
        <v>4</v>
      </c>
      <c r="F17" s="225">
        <f>IF(ISNUMBER(IF(D_I="SI",Datos!K17,Datos!K17+Datos!AE17)),IF(D_I="SI",Datos!K17,Datos!K17+Datos!AE17)," - ")</f>
        <v>12</v>
      </c>
      <c r="G17" s="1029" t="str">
        <f>IF(Datos!E17&lt;&gt;"",Datos!E17,Datos!D17)</f>
        <v>04</v>
      </c>
      <c r="H17" s="226">
        <f>IF(ISNUMBER(IF(D_I="SI",Datos!L17,Datos!L17+Datos!AF17)),IF(D_I="SI",Datos!L17,Datos!L17+Datos!AF17)," - ")</f>
        <v>63</v>
      </c>
      <c r="I17" s="1039" t="str">
        <f>IF(ISNUMBER(Datos!AS17/Datos!BM17),Datos!AS17/Datos!BM17," - ")</f>
        <v xml:space="preserve"> - </v>
      </c>
      <c r="J17" s="1040">
        <f>IF(ISNUMBER(Datos!BY17/Datos!CN17),Datos!BY17/Datos!CN17," - ")</f>
        <v>0</v>
      </c>
      <c r="K17" s="229">
        <f t="shared" si="3"/>
        <v>-0.11267605633802817</v>
      </c>
      <c r="L17" s="1020">
        <f>IF(ISNUMBER(NºAsuntos!I17/NºAsuntos!G17),(NºAsuntos!I17/NºAsuntos!G17)*11," - ")</f>
        <v>57.75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327</v>
      </c>
      <c r="D18" s="224">
        <f>IF(ISNUMBER(IF(D_I="SI",Datos!I18,Datos!I18+Datos!AC18)),IF(D_I="SI",Datos!I18,Datos!I18+Datos!AC18)," - ")</f>
        <v>317</v>
      </c>
      <c r="E18" s="225">
        <f>IF(ISNUMBER(IF(D_I="SI",Datos!J18,Datos!J18+Datos!AD18)),IF(D_I="SI",Datos!J18,Datos!J18+Datos!AD18)," - ")</f>
        <v>91</v>
      </c>
      <c r="F18" s="225">
        <f>IF(ISNUMBER(IF(D_I="SI",Datos!K18,Datos!K18+Datos!AE18)),IF(D_I="SI",Datos!K18,Datos!K18+Datos!AE18)," - ")</f>
        <v>83</v>
      </c>
      <c r="G18" s="1029" t="str">
        <f>IF(Datos!E18&lt;&gt;"",Datos!E18,Datos!D18)</f>
        <v>37</v>
      </c>
      <c r="H18" s="226">
        <f>IF(ISNUMBER(IF(D_I="SI",Datos!L18,Datos!L18+Datos!AF18)),IF(D_I="SI",Datos!L18,Datos!L18+Datos!AF18)," - ")</f>
        <v>335</v>
      </c>
      <c r="I18" s="1039" t="str">
        <f>IF(ISNUMBER(Datos!AS18/Datos!BM18),Datos!AS18/Datos!BM18," - ")</f>
        <v xml:space="preserve"> - </v>
      </c>
      <c r="J18" s="1040" t="str">
        <f>IF(ISNUMBER((Datos!BY18+Datos!BZ18)/Datos!CN18),(Datos!BY18+Datos!BZ18)/Datos!CN18," - ")</f>
        <v xml:space="preserve"> - </v>
      </c>
      <c r="K18" s="229">
        <f t="shared" si="3"/>
        <v>2.4464831804281346E-2</v>
      </c>
      <c r="L18" s="1020">
        <f>IF(ISNUMBER(NºAsuntos!I18/NºAsuntos!G18),(NºAsuntos!I18/NºAsuntos!G18)*11," - ")</f>
        <v>44.397590361445779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2417</v>
      </c>
      <c r="D19" s="1044">
        <f>SUBTOTAL(9,D15:D18)</f>
        <v>2240</v>
      </c>
      <c r="E19" s="1045">
        <f>SUBTOTAL(9,E15:E18)</f>
        <v>1338</v>
      </c>
      <c r="F19" s="1045">
        <f>SUBTOTAL(9,F15:F18)</f>
        <v>1391</v>
      </c>
      <c r="G19" s="1047" t="str">
        <f ca="1">INDIRECT(CONCATENATE("G",ROW()-1))</f>
        <v>37</v>
      </c>
      <c r="H19" s="1048">
        <f ca="1">SUMIF(G$14:G18,G19,H$14:H18)</f>
        <v>335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2460</v>
      </c>
      <c r="D20" s="1066">
        <f>SUBTOTAL(9,D9:D19)</f>
        <v>2288</v>
      </c>
      <c r="E20" s="1067">
        <f>SUBTOTAL(9,E9:E19)</f>
        <v>1365</v>
      </c>
      <c r="F20" s="1067">
        <f>SUBTOTAL(9,F9:F19)</f>
        <v>1399</v>
      </c>
      <c r="G20" s="1068"/>
      <c r="H20" s="1069">
        <f ca="1">SUMIF(B9:B19,"TOTAL",H9:H19)</f>
        <v>335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aezPtXIFXtmOFpnDR+O7KJotTw3/grfjjMYbocsYVD5effXmt/nnVvMVVV3JGSgW3CMASDgC6YkADGmew5/4Nw==" saltValue="8gSDwHI3sSS7zcHeRihS+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bkF0bEuKfcrsWL875D4EdNLhkZ3GMuMYc9WbLwIg0Gj6rEnMe+9RNxtkgxGaVMoITMXJehSj+7VNC+1fPjDTow==" saltValue="GYVijjuZTA/Z4NIbeyg+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2545</v>
      </c>
      <c r="J9" s="180">
        <v>1800</v>
      </c>
      <c r="K9" s="180">
        <v>1894</v>
      </c>
      <c r="L9" s="180">
        <v>2451</v>
      </c>
      <c r="M9" s="180">
        <v>725</v>
      </c>
      <c r="N9" s="180">
        <v>678</v>
      </c>
      <c r="O9" s="180">
        <v>802</v>
      </c>
      <c r="P9" s="180">
        <v>500</v>
      </c>
      <c r="Q9" s="180">
        <v>294</v>
      </c>
      <c r="R9" s="180">
        <v>7314</v>
      </c>
      <c r="S9" s="180">
        <v>4012</v>
      </c>
      <c r="T9" s="180">
        <v>3554</v>
      </c>
      <c r="U9" s="180">
        <v>2605</v>
      </c>
      <c r="V9" s="180">
        <v>4952</v>
      </c>
      <c r="W9" s="180">
        <v>968</v>
      </c>
      <c r="X9" s="187">
        <v>703</v>
      </c>
      <c r="Y9" s="190">
        <v>123</v>
      </c>
      <c r="Z9" s="180">
        <v>181</v>
      </c>
      <c r="AA9" s="180">
        <v>210</v>
      </c>
      <c r="AB9" s="180">
        <v>94</v>
      </c>
      <c r="AC9" s="180">
        <v>0</v>
      </c>
      <c r="AD9" s="180">
        <v>0</v>
      </c>
      <c r="AE9" s="180">
        <v>0</v>
      </c>
      <c r="AF9" s="187">
        <v>0</v>
      </c>
      <c r="AG9" s="190">
        <v>24</v>
      </c>
      <c r="AH9" s="180">
        <v>98</v>
      </c>
      <c r="AI9" s="180">
        <v>79</v>
      </c>
      <c r="AJ9" s="191">
        <v>43</v>
      </c>
      <c r="AK9" s="179">
        <v>0</v>
      </c>
      <c r="AL9" s="180">
        <v>0</v>
      </c>
      <c r="AM9" s="180">
        <v>0</v>
      </c>
      <c r="AN9" s="187">
        <v>0</v>
      </c>
      <c r="AO9" s="257">
        <v>6</v>
      </c>
      <c r="AP9" s="153">
        <v>6</v>
      </c>
      <c r="AQ9" s="153">
        <v>6</v>
      </c>
      <c r="AR9" s="192">
        <v>6</v>
      </c>
      <c r="AS9" s="337" t="s">
        <v>763</v>
      </c>
      <c r="AT9" s="194"/>
      <c r="AU9" s="193"/>
      <c r="AV9" s="194"/>
      <c r="AW9" s="193"/>
      <c r="AX9" s="194"/>
      <c r="AY9" s="123">
        <f>IF(ISNUMBER(IF(J_V="SI",S9,S9+AG9)),IF(J_V="SI",S9,S9+AG9)," - ")</f>
        <v>4036</v>
      </c>
      <c r="AZ9" s="123">
        <f>IF(ISNUMBER(IF(J_V="SI",T9,T9+AH9)),IF(J_V="SI",T9,T9+AH9)," - ")</f>
        <v>3652</v>
      </c>
      <c r="BA9" s="124">
        <f>IF(ISNUMBER(IF(J_V="SI",U9,U9+AI9)),IF(J_V="SI",U9,U9+AI9)," - ")</f>
        <v>2684</v>
      </c>
      <c r="BB9" s="124">
        <f>IF(ISNUMBER(IF(J_V="SI",V9,V9+AJ9)),IF(J_V="SI",V9,V9+AJ9)," - ")</f>
        <v>4995</v>
      </c>
      <c r="BC9" s="125">
        <f>IF(ISNUMBER(X9),X9," - ")</f>
        <v>703</v>
      </c>
      <c r="BD9" s="126">
        <f>IF(ISNUMBER(BA9/AZ9),BA9/AZ9," - ")</f>
        <v>0.73493975903614461</v>
      </c>
      <c r="BE9" s="127">
        <f>IF(ISNUMBER(BB9/BA9),BB9/BA9, " - ")</f>
        <v>1.8610283159463488</v>
      </c>
      <c r="BF9" s="127">
        <f>IF(ISNUMBER(BC9/BA9),BC9/BA9, " - ")</f>
        <v>0.26192250372578241</v>
      </c>
      <c r="BG9" s="195">
        <f>IF(ISNUMBER((AY9+AZ9)/BA9),(AY9+AZ9)/BA9," - ")</f>
        <v>2.8643815201192249</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48</v>
      </c>
      <c r="J10" s="180">
        <v>27</v>
      </c>
      <c r="K10" s="180">
        <v>8</v>
      </c>
      <c r="L10" s="180">
        <v>62</v>
      </c>
      <c r="M10" s="180">
        <v>0</v>
      </c>
      <c r="N10" s="180">
        <v>0</v>
      </c>
      <c r="O10" s="180">
        <v>0</v>
      </c>
      <c r="P10" s="180">
        <v>2</v>
      </c>
      <c r="Q10" s="180">
        <v>1</v>
      </c>
      <c r="R10" s="180">
        <v>31</v>
      </c>
      <c r="S10" s="180">
        <v>20</v>
      </c>
      <c r="T10" s="180">
        <v>21</v>
      </c>
      <c r="U10" s="180">
        <v>13</v>
      </c>
      <c r="V10" s="180">
        <v>36</v>
      </c>
      <c r="W10" s="180">
        <v>4</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20</v>
      </c>
      <c r="AZ10" s="129">
        <f t="shared" si="0"/>
        <v>21</v>
      </c>
      <c r="BA10" s="129">
        <f t="shared" si="0"/>
        <v>13</v>
      </c>
      <c r="BB10" s="129">
        <f t="shared" si="0"/>
        <v>36</v>
      </c>
      <c r="BC10" s="125">
        <f t="shared" si="0"/>
        <v>4</v>
      </c>
      <c r="BD10" s="126">
        <f>IF(ISNUMBER(BA10/AZ10),BA10/AZ10," - ")</f>
        <v>0.61904761904761907</v>
      </c>
      <c r="BE10" s="127">
        <f>IF(ISNUMBER(BB10/BA10),BB10/BA10, " - ")</f>
        <v>2.7692307692307692</v>
      </c>
      <c r="BF10" s="127">
        <f>IF(ISNUMBER(BC10/BA10),BC10/BA10, " - ")</f>
        <v>0.30769230769230771</v>
      </c>
      <c r="BG10" s="195">
        <f>IF(ISNUMBER((AY10+AZ10)/BA10),(AY10+AZ10)/BA10," - ")</f>
        <v>3.1538461538461537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17</v>
      </c>
      <c r="J12" s="182">
        <v>1</v>
      </c>
      <c r="K12" s="182">
        <v>4</v>
      </c>
      <c r="L12" s="182">
        <v>14</v>
      </c>
      <c r="M12" s="182">
        <v>1</v>
      </c>
      <c r="N12" s="182">
        <v>2</v>
      </c>
      <c r="O12" s="180">
        <v>16</v>
      </c>
      <c r="P12" s="182">
        <v>0</v>
      </c>
      <c r="Q12" s="182">
        <v>15</v>
      </c>
      <c r="R12" s="182">
        <v>1789</v>
      </c>
      <c r="S12" s="182">
        <v>32</v>
      </c>
      <c r="T12" s="182">
        <v>10</v>
      </c>
      <c r="U12" s="182">
        <v>6</v>
      </c>
      <c r="V12" s="182">
        <v>38</v>
      </c>
      <c r="W12" s="182">
        <v>1</v>
      </c>
      <c r="X12" s="188">
        <v>7</v>
      </c>
      <c r="Y12" s="190">
        <v>0</v>
      </c>
      <c r="Z12" s="180">
        <v>0</v>
      </c>
      <c r="AA12" s="180">
        <v>0</v>
      </c>
      <c r="AB12" s="180">
        <v>0</v>
      </c>
      <c r="AC12" s="182">
        <v>0</v>
      </c>
      <c r="AD12" s="182">
        <v>0</v>
      </c>
      <c r="AE12" s="182">
        <v>0</v>
      </c>
      <c r="AF12" s="188">
        <v>0</v>
      </c>
      <c r="AG12" s="201">
        <v>0</v>
      </c>
      <c r="AH12" s="182">
        <v>3</v>
      </c>
      <c r="AI12" s="182">
        <v>3</v>
      </c>
      <c r="AJ12" s="202">
        <v>0</v>
      </c>
      <c r="AK12" s="181">
        <v>0</v>
      </c>
      <c r="AL12" s="182">
        <v>0</v>
      </c>
      <c r="AM12" s="182">
        <v>0</v>
      </c>
      <c r="AN12" s="188">
        <v>0</v>
      </c>
      <c r="AO12" s="258">
        <v>0</v>
      </c>
      <c r="AP12" s="154">
        <v>0</v>
      </c>
      <c r="AQ12" s="154">
        <v>0</v>
      </c>
      <c r="AR12" s="153">
        <v>0</v>
      </c>
      <c r="AS12" s="339" t="s">
        <v>766</v>
      </c>
      <c r="AT12" s="202"/>
      <c r="AU12" s="201"/>
      <c r="AV12" s="202"/>
      <c r="AW12" s="201"/>
      <c r="AX12" s="202"/>
      <c r="AY12" s="126">
        <f t="shared" si="1"/>
        <v>32</v>
      </c>
      <c r="AZ12" s="127">
        <f t="shared" si="1"/>
        <v>13</v>
      </c>
      <c r="BA12" s="127">
        <f t="shared" si="1"/>
        <v>9</v>
      </c>
      <c r="BB12" s="127">
        <f t="shared" si="1"/>
        <v>38</v>
      </c>
      <c r="BC12" s="125">
        <f>IF(ISNUMBER(X12),X12," - ")</f>
        <v>7</v>
      </c>
      <c r="BD12" s="126">
        <f t="shared" si="2"/>
        <v>0.69230769230769229</v>
      </c>
      <c r="BE12" s="127">
        <f t="shared" si="3"/>
        <v>4.2222222222222223</v>
      </c>
      <c r="BF12" s="127">
        <f t="shared" si="4"/>
        <v>0.77777777777777779</v>
      </c>
      <c r="BG12" s="195">
        <f t="shared" si="5"/>
        <v>5</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2610</v>
      </c>
      <c r="J13" s="183">
        <f t="shared" si="6"/>
        <v>1828</v>
      </c>
      <c r="K13" s="183">
        <f t="shared" si="6"/>
        <v>1906</v>
      </c>
      <c r="L13" s="183">
        <f t="shared" si="6"/>
        <v>2527</v>
      </c>
      <c r="M13" s="183">
        <f t="shared" si="6"/>
        <v>726</v>
      </c>
      <c r="N13" s="183">
        <f t="shared" si="6"/>
        <v>680</v>
      </c>
      <c r="O13" s="183">
        <f t="shared" si="6"/>
        <v>818</v>
      </c>
      <c r="P13" s="183">
        <f t="shared" si="6"/>
        <v>502</v>
      </c>
      <c r="Q13" s="183">
        <f t="shared" si="6"/>
        <v>310</v>
      </c>
      <c r="R13" s="183">
        <f t="shared" si="6"/>
        <v>9134</v>
      </c>
      <c r="S13" s="183">
        <f t="shared" si="6"/>
        <v>4064</v>
      </c>
      <c r="T13" s="183">
        <f t="shared" si="6"/>
        <v>3585</v>
      </c>
      <c r="U13" s="183">
        <f t="shared" si="6"/>
        <v>2624</v>
      </c>
      <c r="V13" s="183">
        <f t="shared" si="6"/>
        <v>5026</v>
      </c>
      <c r="W13" s="183">
        <f t="shared" si="6"/>
        <v>973</v>
      </c>
      <c r="X13" s="183">
        <f t="shared" si="6"/>
        <v>716</v>
      </c>
      <c r="Y13" s="183">
        <f t="shared" si="6"/>
        <v>123</v>
      </c>
      <c r="Z13" s="183">
        <f t="shared" si="6"/>
        <v>181</v>
      </c>
      <c r="AA13" s="183">
        <f t="shared" si="6"/>
        <v>210</v>
      </c>
      <c r="AB13" s="183">
        <f t="shared" si="6"/>
        <v>94</v>
      </c>
      <c r="AC13" s="183">
        <f t="shared" si="6"/>
        <v>0</v>
      </c>
      <c r="AD13" s="183">
        <f t="shared" si="6"/>
        <v>0</v>
      </c>
      <c r="AE13" s="183">
        <f t="shared" si="6"/>
        <v>0</v>
      </c>
      <c r="AF13" s="183">
        <f>SUBTOTAL(9,AF9:AF12)</f>
        <v>0</v>
      </c>
      <c r="AG13" s="183">
        <f t="shared" ref="AG13:AT13" si="7">SUBTOTAL(9,AG8:AG12)</f>
        <v>24</v>
      </c>
      <c r="AH13" s="183">
        <f t="shared" si="7"/>
        <v>101</v>
      </c>
      <c r="AI13" s="183">
        <f t="shared" si="7"/>
        <v>82</v>
      </c>
      <c r="AJ13" s="183">
        <f t="shared" si="7"/>
        <v>43</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4088</v>
      </c>
      <c r="AZ13" s="183">
        <f>SUBTOTAL(9,AZ8:AZ12)</f>
        <v>3686</v>
      </c>
      <c r="BA13" s="183">
        <f>SUBTOTAL(9,BA8:BA12)</f>
        <v>2706</v>
      </c>
      <c r="BB13" s="183">
        <f>SUBTOTAL(9,BB8:BB12)</f>
        <v>5069</v>
      </c>
      <c r="BC13" s="183">
        <f>SUBTOTAL(9,BC8:BC12)</f>
        <v>714</v>
      </c>
      <c r="BD13" s="204">
        <f>IF(ISNUMBER(BA13/AZ13),BA13/AZ13," - ")</f>
        <v>0.73412913727618012</v>
      </c>
      <c r="BE13" s="205">
        <f>IF(ISNUMBER(BB13/BA13),BB13/BA13, " - ")</f>
        <v>1.8732446415373245</v>
      </c>
      <c r="BF13" s="205">
        <f>IF(ISNUMBER(BC13/BA13),BC13/BA13, " - ")</f>
        <v>0.26385809312638581</v>
      </c>
      <c r="BG13" s="206">
        <f>IF(ISNUMBER((AY13+AZ13)/BA13),(AY13+AZ13)/BA13," - ")</f>
        <v>2.8728750923872877</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1846</v>
      </c>
      <c r="J15" s="182">
        <v>1243</v>
      </c>
      <c r="K15" s="182">
        <v>1296</v>
      </c>
      <c r="L15" s="182">
        <v>1966</v>
      </c>
      <c r="M15" s="182">
        <v>216</v>
      </c>
      <c r="N15" s="182">
        <v>785</v>
      </c>
      <c r="O15" s="180">
        <v>26</v>
      </c>
      <c r="P15" s="182">
        <v>56</v>
      </c>
      <c r="Q15" s="182">
        <v>29</v>
      </c>
      <c r="R15" s="182">
        <v>344</v>
      </c>
      <c r="S15" s="182">
        <v>2200</v>
      </c>
      <c r="T15" s="182">
        <v>1357</v>
      </c>
      <c r="U15" s="182">
        <v>1482</v>
      </c>
      <c r="V15" s="182">
        <v>2087</v>
      </c>
      <c r="W15" s="182">
        <v>220</v>
      </c>
      <c r="X15" s="188">
        <v>870</v>
      </c>
      <c r="Y15" s="201">
        <v>0</v>
      </c>
      <c r="Z15" s="182">
        <v>0</v>
      </c>
      <c r="AA15" s="182">
        <v>0</v>
      </c>
      <c r="AB15" s="182">
        <v>0</v>
      </c>
      <c r="AC15" s="182">
        <v>0</v>
      </c>
      <c r="AD15" s="182">
        <v>1</v>
      </c>
      <c r="AE15" s="182">
        <v>1</v>
      </c>
      <c r="AF15" s="188">
        <v>0</v>
      </c>
      <c r="AG15" s="201">
        <v>0</v>
      </c>
      <c r="AH15" s="182">
        <v>0</v>
      </c>
      <c r="AI15" s="182">
        <v>0</v>
      </c>
      <c r="AJ15" s="202">
        <v>0</v>
      </c>
      <c r="AK15" s="181">
        <v>0</v>
      </c>
      <c r="AL15" s="182">
        <v>0</v>
      </c>
      <c r="AM15" s="182">
        <v>0</v>
      </c>
      <c r="AN15" s="188">
        <v>0</v>
      </c>
      <c r="AO15" s="258">
        <v>3</v>
      </c>
      <c r="AP15" s="154">
        <v>3</v>
      </c>
      <c r="AQ15" s="154">
        <v>3</v>
      </c>
      <c r="AR15" s="154">
        <v>3</v>
      </c>
      <c r="AS15" s="339" t="s">
        <v>520</v>
      </c>
      <c r="AT15" s="202" t="s">
        <v>327</v>
      </c>
      <c r="AU15" s="201"/>
      <c r="AV15" s="202"/>
      <c r="AW15" s="201"/>
      <c r="AX15" s="202"/>
      <c r="AY15" s="128">
        <f t="shared" ref="AY15:BB17" si="9">IF(ISNUMBER(IF(D_I="SI",S15,S15+AK15)),IF(D_I="SI",S15,S15+AK15)," - ")</f>
        <v>2200</v>
      </c>
      <c r="AZ15" s="129">
        <f t="shared" si="9"/>
        <v>1357</v>
      </c>
      <c r="BA15" s="129">
        <f t="shared" si="9"/>
        <v>1482</v>
      </c>
      <c r="BB15" s="129">
        <f t="shared" si="9"/>
        <v>2087</v>
      </c>
      <c r="BC15" s="125">
        <f>IF(ISNUMBER(W15),W15," - ")</f>
        <v>220</v>
      </c>
      <c r="BD15" s="126">
        <f>IF(ISNUMBER(BA15/AZ15),BA15/AZ15," - ")</f>
        <v>1.0921149594694177</v>
      </c>
      <c r="BE15" s="127">
        <f>IF(ISNUMBER(BB15/BA15),BB15/BA15, " - ")</f>
        <v>1.4082321187584346</v>
      </c>
      <c r="BF15" s="127">
        <f>IF(ISNUMBER(BC15/BA15),BC15/BA15, " - ")</f>
        <v>0.1484480431848853</v>
      </c>
      <c r="BG15" s="195">
        <f t="shared" ref="BG15:BG17" si="10">IF(ISNUMBER((AY15+AZ15)/BA15),(AY15+AZ15)/BA15," - ")</f>
        <v>2.4001349527665319</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77</v>
      </c>
      <c r="J17" s="182">
        <v>4</v>
      </c>
      <c r="K17" s="182">
        <v>12</v>
      </c>
      <c r="L17" s="182">
        <v>63</v>
      </c>
      <c r="M17" s="182">
        <v>0</v>
      </c>
      <c r="N17" s="182">
        <v>2</v>
      </c>
      <c r="O17" s="180">
        <v>0</v>
      </c>
      <c r="P17" s="182">
        <v>0</v>
      </c>
      <c r="Q17" s="182">
        <v>0</v>
      </c>
      <c r="R17" s="182">
        <v>0</v>
      </c>
      <c r="S17" s="182">
        <v>152</v>
      </c>
      <c r="T17" s="182">
        <v>4</v>
      </c>
      <c r="U17" s="182">
        <v>26</v>
      </c>
      <c r="V17" s="182">
        <v>132</v>
      </c>
      <c r="W17" s="182">
        <v>1</v>
      </c>
      <c r="X17" s="188">
        <v>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0</v>
      </c>
      <c r="AP17" s="154">
        <v>0</v>
      </c>
      <c r="AQ17" s="154">
        <v>0</v>
      </c>
      <c r="AR17" s="154">
        <v>0</v>
      </c>
      <c r="AS17" s="339" t="s">
        <v>486</v>
      </c>
      <c r="AT17" s="202"/>
      <c r="AU17" s="201"/>
      <c r="AV17" s="202"/>
      <c r="AW17" s="201"/>
      <c r="AX17" s="202"/>
      <c r="AY17" s="126">
        <f t="shared" si="9"/>
        <v>152</v>
      </c>
      <c r="AZ17" s="127">
        <f t="shared" si="9"/>
        <v>4</v>
      </c>
      <c r="BA17" s="127">
        <f t="shared" si="9"/>
        <v>26</v>
      </c>
      <c r="BB17" s="127">
        <f t="shared" si="9"/>
        <v>132</v>
      </c>
      <c r="BC17" s="125">
        <f>IF(ISNUMBER(W17),W17," - ")</f>
        <v>1</v>
      </c>
      <c r="BD17" s="126">
        <f t="shared" ref="BD17" si="16">IF(ISNUMBER(BA17/AZ17),BA17/AZ17," - ")</f>
        <v>6.5</v>
      </c>
      <c r="BE17" s="127">
        <f t="shared" ref="BE17" si="17">IF(ISNUMBER(BB17/BA17),BB17/BA17, " - ")</f>
        <v>5.0769230769230766</v>
      </c>
      <c r="BF17" s="127">
        <f t="shared" ref="BF17" si="18">IF(ISNUMBER(BC17/BA17),BC17/BA17, " - ")</f>
        <v>3.8461538461538464E-2</v>
      </c>
      <c r="BG17" s="195">
        <f t="shared" si="10"/>
        <v>6</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317</v>
      </c>
      <c r="J18" s="182">
        <v>91</v>
      </c>
      <c r="K18" s="182">
        <v>83</v>
      </c>
      <c r="L18" s="182">
        <v>335</v>
      </c>
      <c r="M18" s="182">
        <v>2</v>
      </c>
      <c r="N18" s="182">
        <v>47</v>
      </c>
      <c r="O18" s="182">
        <v>0</v>
      </c>
      <c r="P18" s="182">
        <v>0</v>
      </c>
      <c r="Q18" s="182">
        <v>2</v>
      </c>
      <c r="R18" s="182">
        <v>3</v>
      </c>
      <c r="S18" s="182">
        <v>275</v>
      </c>
      <c r="T18" s="182">
        <v>129</v>
      </c>
      <c r="U18" s="182">
        <v>61</v>
      </c>
      <c r="V18" s="182">
        <v>343</v>
      </c>
      <c r="W18" s="182">
        <v>14</v>
      </c>
      <c r="X18" s="188">
        <v>48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275</v>
      </c>
      <c r="AZ18" s="129">
        <f t="shared" si="19"/>
        <v>129</v>
      </c>
      <c r="BA18" s="129">
        <f t="shared" si="19"/>
        <v>61</v>
      </c>
      <c r="BB18" s="129">
        <f t="shared" si="19"/>
        <v>343</v>
      </c>
      <c r="BC18" s="125">
        <f>IF(ISNUMBER(W18),W18," - ")</f>
        <v>14</v>
      </c>
      <c r="BD18" s="126">
        <f>IF(ISNUMBER(BA18/AZ18),BA18/AZ18," - ")</f>
        <v>0.47286821705426357</v>
      </c>
      <c r="BE18" s="127">
        <f>IF(ISNUMBER(BB18/BA18),BB18/BA18, " - ")</f>
        <v>5.6229508196721314</v>
      </c>
      <c r="BF18" s="127">
        <f>IF(ISNUMBER(BC18/BA18),BC18/BA18, " - ")</f>
        <v>0.22950819672131148</v>
      </c>
      <c r="BG18" s="195">
        <f>IF(ISNUMBER((AY18+AZ18)/BA18),(AY18+AZ18)/BA18," - ")</f>
        <v>6.6229508196721314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2240</v>
      </c>
      <c r="J19" s="183">
        <f t="shared" si="20"/>
        <v>1338</v>
      </c>
      <c r="K19" s="183">
        <f t="shared" si="20"/>
        <v>1391</v>
      </c>
      <c r="L19" s="183">
        <f t="shared" si="20"/>
        <v>2364</v>
      </c>
      <c r="M19" s="183">
        <f t="shared" si="20"/>
        <v>218</v>
      </c>
      <c r="N19" s="183">
        <f t="shared" si="20"/>
        <v>834</v>
      </c>
      <c r="O19" s="183">
        <f t="shared" si="20"/>
        <v>26</v>
      </c>
      <c r="P19" s="183">
        <f t="shared" si="20"/>
        <v>56</v>
      </c>
      <c r="Q19" s="183">
        <f t="shared" si="20"/>
        <v>31</v>
      </c>
      <c r="R19" s="183">
        <f t="shared" si="20"/>
        <v>347</v>
      </c>
      <c r="S19" s="183">
        <f t="shared" si="20"/>
        <v>2627</v>
      </c>
      <c r="T19" s="183">
        <f t="shared" si="20"/>
        <v>1490</v>
      </c>
      <c r="U19" s="183">
        <f t="shared" si="20"/>
        <v>1569</v>
      </c>
      <c r="V19" s="183">
        <f t="shared" si="20"/>
        <v>2562</v>
      </c>
      <c r="W19" s="183">
        <f t="shared" si="20"/>
        <v>235</v>
      </c>
      <c r="X19" s="183">
        <f t="shared" si="20"/>
        <v>933</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2627</v>
      </c>
      <c r="AZ19" s="183">
        <f>SUBTOTAL(9,AZ14:AZ18)</f>
        <v>1490</v>
      </c>
      <c r="BA19" s="183">
        <f>SUBTOTAL(9,BA14:BA18)</f>
        <v>1569</v>
      </c>
      <c r="BB19" s="183">
        <f>SUBTOTAL(9,BB14:BB18)</f>
        <v>2562</v>
      </c>
      <c r="BC19" s="183">
        <f>SUBTOTAL(9,BC14:BC18)</f>
        <v>235</v>
      </c>
      <c r="BD19" s="204">
        <f>IF(ISNUMBER(BA19/AZ19),BA19/AZ19," - ")</f>
        <v>1.053020134228188</v>
      </c>
      <c r="BE19" s="205">
        <f>IF(ISNUMBER(BB19/BA19),BB19/BA19, " - ")</f>
        <v>1.632887189292543</v>
      </c>
      <c r="BF19" s="205">
        <f>IF(ISNUMBER(BC19/BA19),BC19/BA19, " - ")</f>
        <v>0.14977692797960485</v>
      </c>
      <c r="BG19" s="206">
        <f>IF(ISNUMBER((AY19+AZ19)/BA19),(AY19+AZ19)/BA19," - ")</f>
        <v>2.6239643084767366</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4850</v>
      </c>
      <c r="J20" s="134">
        <f t="shared" si="23"/>
        <v>3166</v>
      </c>
      <c r="K20" s="134">
        <f t="shared" si="23"/>
        <v>3297</v>
      </c>
      <c r="L20" s="134">
        <f t="shared" si="23"/>
        <v>4891</v>
      </c>
      <c r="M20" s="134">
        <f t="shared" si="23"/>
        <v>944</v>
      </c>
      <c r="N20" s="134">
        <f t="shared" si="23"/>
        <v>1514</v>
      </c>
      <c r="O20" s="134">
        <f t="shared" si="23"/>
        <v>844</v>
      </c>
      <c r="P20" s="134">
        <f t="shared" si="23"/>
        <v>558</v>
      </c>
      <c r="Q20" s="134">
        <f t="shared" si="23"/>
        <v>341</v>
      </c>
      <c r="R20" s="134">
        <f t="shared" si="23"/>
        <v>9481</v>
      </c>
      <c r="S20" s="134">
        <f t="shared" si="23"/>
        <v>6691</v>
      </c>
      <c r="T20" s="134">
        <f t="shared" si="23"/>
        <v>5075</v>
      </c>
      <c r="U20" s="134">
        <f t="shared" si="23"/>
        <v>4193</v>
      </c>
      <c r="V20" s="134">
        <f t="shared" si="23"/>
        <v>7588</v>
      </c>
      <c r="W20" s="134">
        <f t="shared" si="23"/>
        <v>1208</v>
      </c>
      <c r="X20" s="134">
        <f t="shared" si="23"/>
        <v>1649</v>
      </c>
      <c r="Y20" s="134">
        <f t="shared" si="23"/>
        <v>123</v>
      </c>
      <c r="Z20" s="134">
        <f t="shared" si="23"/>
        <v>181</v>
      </c>
      <c r="AA20" s="134">
        <f t="shared" si="23"/>
        <v>210</v>
      </c>
      <c r="AB20" s="134">
        <f t="shared" si="23"/>
        <v>94</v>
      </c>
      <c r="AC20" s="134">
        <f t="shared" si="23"/>
        <v>0</v>
      </c>
      <c r="AD20" s="134">
        <f t="shared" si="23"/>
        <v>1</v>
      </c>
      <c r="AE20" s="134">
        <f t="shared" si="23"/>
        <v>1</v>
      </c>
      <c r="AF20" s="134">
        <f t="shared" si="23"/>
        <v>0</v>
      </c>
      <c r="AG20" s="134">
        <f t="shared" si="23"/>
        <v>24</v>
      </c>
      <c r="AH20" s="134">
        <f t="shared" si="23"/>
        <v>101</v>
      </c>
      <c r="AI20" s="134">
        <f t="shared" si="23"/>
        <v>82</v>
      </c>
      <c r="AJ20" s="134">
        <f t="shared" si="23"/>
        <v>43</v>
      </c>
      <c r="AK20" s="134">
        <f t="shared" si="23"/>
        <v>0</v>
      </c>
      <c r="AL20" s="134">
        <f t="shared" si="23"/>
        <v>0</v>
      </c>
      <c r="AM20" s="134">
        <f t="shared" si="23"/>
        <v>0</v>
      </c>
      <c r="AN20" s="209">
        <f t="shared" si="23"/>
        <v>0</v>
      </c>
      <c r="AO20" s="210">
        <v>10</v>
      </c>
      <c r="AP20" s="210">
        <v>9</v>
      </c>
      <c r="AQ20" s="210">
        <v>9</v>
      </c>
      <c r="AR20" s="210">
        <v>9</v>
      </c>
      <c r="AS20" s="152">
        <f t="shared" si="23"/>
        <v>0</v>
      </c>
      <c r="AT20" s="152">
        <f t="shared" si="23"/>
        <v>0</v>
      </c>
      <c r="AU20" s="210"/>
      <c r="AV20" s="211"/>
      <c r="AW20" s="210"/>
      <c r="AX20" s="211"/>
      <c r="AY20" s="133">
        <f>SUBTOTAL(9,AY9:AY19)</f>
        <v>6715</v>
      </c>
      <c r="AZ20" s="134">
        <f>SUBTOTAL(9,AZ9:AZ19)</f>
        <v>5176</v>
      </c>
      <c r="BA20" s="134">
        <f>SUBTOTAL(9,BA9:BA19)</f>
        <v>4275</v>
      </c>
      <c r="BB20" s="134">
        <f>SUBTOTAL(9,BB9:BB19)</f>
        <v>7631</v>
      </c>
      <c r="BC20" s="135">
        <f>SUBTOTAL(9,BC9:BC19)</f>
        <v>949</v>
      </c>
      <c r="BD20" s="212">
        <f>IF(ISNUMBER(BA20/AZ20),BA20/AZ20," - ")</f>
        <v>0.82592735703245745</v>
      </c>
      <c r="BE20" s="209">
        <f>IF(ISNUMBER(BB20/BA20),BB20/BA20, " - ")</f>
        <v>1.7850292397660819</v>
      </c>
      <c r="BF20" s="209">
        <f>IF(ISNUMBER(BC20/BA20),BC20/BA20, " - ")</f>
        <v>0.22198830409356726</v>
      </c>
      <c r="BG20" s="135">
        <f>IF(ISNUMBER((AY20+AZ20)/BA20),(AY20+AZ20)/BA20," - ")</f>
        <v>2.7815204678362573</v>
      </c>
      <c r="BH20" s="210">
        <f>SUBTOTAL(9,BH9:BH19)</f>
        <v>11</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TdxqC/4FIv4Wi8AXzLRsMzXGrTs0Kgw1FTK3pxHL339UERqohYyGI27t45biTLXd6I1ejYVvOSy9o6uD2gfjw==" saltValue="7uhowcjCMZ68Ovz+Y8GyJ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D1t0REjZ8IKyEWd6KqjgJt+TNksxGbFgKp0ox6gD8FsKmQCczSNDKRnEfPZT72LN6vD3L2nlXW7AR5pmXsipQ==" saltValue="r+DntmFai7NDw/nvakRNB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LEON  Resumenes por Partidos Judiciales  PONFERRADA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6</v>
      </c>
      <c r="B9" s="1275" t="s">
        <v>247</v>
      </c>
      <c r="C9" s="1200" t="str">
        <f>Datos!A9</f>
        <v>Sección Civil del T.I</v>
      </c>
      <c r="D9" s="1276"/>
      <c r="E9" s="1226">
        <f>IF(ISNUMBER(Datos!AQ9),Datos!AQ9," - ")</f>
        <v>6</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181</v>
      </c>
      <c r="O9" s="1247"/>
      <c r="P9" s="1247"/>
      <c r="Q9" s="1215">
        <f>IF(ISNUMBER(Datos!P9),Datos!P9,0)</f>
        <v>500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294</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94</v>
      </c>
      <c r="AI9" s="1247" t="str">
        <f>IF(ISNUMBER(Datos!CD9),Datos!CD9,"-")</f>
        <v>-</v>
      </c>
      <c r="AJ9" s="1247" t="str">
        <f>IF(ISNUMBER(Datos!EN9),Datos!EN9," - ")</f>
        <v xml:space="preserve"> - </v>
      </c>
      <c r="AK9" s="1247"/>
      <c r="AL9" s="1258"/>
      <c r="AM9" s="1248">
        <f>IF(ISNUMBER(Datos!R9),Datos!R9," - ")</f>
        <v>7314</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725</v>
      </c>
      <c r="BD9" s="1218">
        <f>IF(ISNUMBER(Datos!N9),Datos!N9," - ")</f>
        <v>678</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1.0620898536092882</v>
      </c>
      <c r="BH9" s="1226">
        <f>IF(ISNUMBER(((IF(J_V="SI",Datos!L9/Datos!K9,(Datos!L9+Datos!AB9)/(Datos!K9+Datos!AA9)))*11)/factor_trimestre),((IF(J_V="SI",Datos!L9/Datos!K9,(Datos!L9+Datos!AB9)/(Datos!K9+Datos!AA9)))*11)/factor_trimestre," - ")</f>
        <v>3.6288022813688214</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2.8981429375351718E-2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43</v>
      </c>
      <c r="G10" s="1246">
        <f>IF(ISNUMBER(Datos!I10),Datos!I10," - ")</f>
        <v>48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8</v>
      </c>
      <c r="AC10" s="1215">
        <f>IF(ISNUMBER(Datos!Q10),Datos!Q10," - ")</f>
        <v>1</v>
      </c>
      <c r="AD10" s="1247"/>
      <c r="AE10" s="1262"/>
      <c r="AF10" s="1245">
        <f>IF(ISNUMBER(Datos!L10),Datos!L10,"-")</f>
        <v>62</v>
      </c>
      <c r="AG10" s="1247"/>
      <c r="AH10" s="1247"/>
      <c r="AI10" s="1247"/>
      <c r="AJ10" s="1247"/>
      <c r="AK10" s="1247"/>
      <c r="AL10" s="1258"/>
      <c r="AM10" s="1248">
        <f>IF(ISNUMBER(Datos!R10),Datos!R10," - ")</f>
        <v>31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0.29629629629629628</v>
      </c>
      <c r="BH10" s="1226">
        <f>IF(ISNUMBER(((Datos!L10/Datos!K10)*11)/factor_trimestre),((Datos!L10/Datos!K10)*11)/factor_trimestre," - ")</f>
        <v>23.25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3.3333333333333333E-2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0</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0</v>
      </c>
      <c r="AI12" s="1247" t="str">
        <f>IF(ISNUMBER(Datos!CD12),Datos!CD12,"-")</f>
        <v>-</v>
      </c>
      <c r="AJ12" s="1247" t="str">
        <f>IF(ISNUMBER(Datos!EN12),Datos!EN12," - ")</f>
        <v xml:space="preserve"> - </v>
      </c>
      <c r="AK12" s="1247"/>
      <c r="AL12" s="1258"/>
      <c r="AM12" s="1248">
        <f>IF(ISNUMBER(Datos!R12),Datos!R12," - ")</f>
        <v>1789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v>
      </c>
      <c r="BD12" s="1218">
        <f>IF(ISNUMBER(Datos!N12),Datos!N12," - ")</f>
        <v>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4</v>
      </c>
      <c r="BH12" s="1226">
        <f>IF(ISNUMBER(((IF(J_V="SI",Datos!L12/Datos!K12,(Datos!L12+Datos!AB12)/(Datos!K12+Datos!AA12)))*11)/factor_trimestre),((IF(J_V="SI",Datos!L12/Datos!K12,(Datos!L12+Datos!AB12)/(Datos!K12+Datos!AA12)))*11)/factor_trimestre," - ")</f>
        <v>10.5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-8.3148558758314849E-3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43</v>
      </c>
      <c r="G13" s="1391">
        <f t="shared" si="0"/>
        <v>48</v>
      </c>
      <c r="H13" s="1392">
        <f t="shared" si="0"/>
        <v>0</v>
      </c>
      <c r="I13" s="1391">
        <f t="shared" si="0"/>
        <v>0</v>
      </c>
      <c r="J13" s="1383">
        <f t="shared" si="0"/>
        <v>0</v>
      </c>
      <c r="K13" s="1383">
        <f t="shared" si="0"/>
        <v>0</v>
      </c>
      <c r="L13" s="1392">
        <f t="shared" si="0"/>
        <v>0</v>
      </c>
      <c r="M13" s="1392">
        <f t="shared" si="0"/>
        <v>0</v>
      </c>
      <c r="N13" s="1392">
        <f t="shared" si="0"/>
        <v>181</v>
      </c>
      <c r="O13" s="1393">
        <f t="shared" si="0"/>
        <v>0</v>
      </c>
      <c r="P13" s="1393">
        <f t="shared" si="0"/>
        <v>0</v>
      </c>
      <c r="Q13" s="1392">
        <f t="shared" si="0"/>
        <v>502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8</v>
      </c>
      <c r="AC13" s="1392">
        <f t="shared" si="1"/>
        <v>310</v>
      </c>
      <c r="AD13" s="1392">
        <f t="shared" si="1"/>
        <v>0</v>
      </c>
      <c r="AE13" s="1392">
        <f t="shared" si="1"/>
        <v>0</v>
      </c>
      <c r="AF13" s="1392">
        <f t="shared" si="1"/>
        <v>62</v>
      </c>
      <c r="AG13" s="1392">
        <f t="shared" si="1"/>
        <v>0</v>
      </c>
      <c r="AH13" s="1392">
        <f t="shared" si="1"/>
        <v>94</v>
      </c>
      <c r="AI13" s="1392">
        <f t="shared" si="1"/>
        <v>0</v>
      </c>
      <c r="AJ13" s="1392">
        <f t="shared" si="1"/>
        <v>0</v>
      </c>
      <c r="AK13" s="1392">
        <f t="shared" si="1"/>
        <v>0</v>
      </c>
      <c r="AL13" s="1392">
        <f t="shared" si="1"/>
        <v>0</v>
      </c>
      <c r="AM13" s="1392">
        <f t="shared" si="1"/>
        <v>9134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726</v>
      </c>
      <c r="BD13" s="1392">
        <f t="shared" si="1"/>
        <v>680</v>
      </c>
      <c r="BE13" s="1392">
        <f t="shared" si="1"/>
        <v>0</v>
      </c>
      <c r="BF13" s="1392">
        <f t="shared" si="1"/>
        <v>0</v>
      </c>
      <c r="BG13" s="1392">
        <f>IF(ISNUMBER(Datos!K13/Datos!J13),Datos!K13/Datos!J13," - ")</f>
        <v>1.0426695842450766</v>
      </c>
      <c r="BH13" s="1396">
        <f>IF(ISNUMBER(((Datos!L13/Datos!K13)*11)/factor_trimestre),((Datos!L13/Datos!K13)*11)/factor_trimestre," - ")</f>
        <v>3.9774396642182581</v>
      </c>
      <c r="BI13" s="1392">
        <f>IF(ISNUMBER('Resol  Asuntos'!D13/NºAsuntos!G13),'Resol  Asuntos'!D13/NºAsuntos!G13," - ")</f>
        <v>0.34310018903591682</v>
      </c>
      <c r="BJ13" s="1392" t="str">
        <f>IF(ISNUMBER(Datos!CI13/Datos!CJ13),Datos!CI13/Datos!CJ13," - ")</f>
        <v xml:space="preserve"> - </v>
      </c>
      <c r="BK13" s="1392">
        <f>SUBTOTAL(9,BK8:BK12)</f>
        <v>0</v>
      </c>
      <c r="BL13" s="1392">
        <f>IF(ISNUMBER((I13-AB13+L13)/(F13)),(I13-AB13+L13)/(F13)," - ")</f>
        <v>-0.18604651162790697</v>
      </c>
      <c r="BM13" s="1397">
        <f>SUBTOTAL(9,BM9:BM12)</f>
        <v>5.3999906832853564E-2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3</v>
      </c>
      <c r="B15" s="1331" t="s">
        <v>397</v>
      </c>
      <c r="C15" s="1337" t="str">
        <f>Datos!A15</f>
        <v xml:space="preserve">Seccion Instruccion Del T.I.                   </v>
      </c>
      <c r="D15" s="1338"/>
      <c r="E15" s="1435">
        <f>IF(ISNUMBER(Datos!AQ15),Datos!AQ15," - ")</f>
        <v>3</v>
      </c>
      <c r="F15" s="1332">
        <f>IF(ISNUMBER(AF15+AB15-Datos!J15-L15),AF15+AB15-Datos!J15-L15," - ")</f>
        <v>2019</v>
      </c>
      <c r="G15" s="1335">
        <f>IF(ISNUMBER(IF(D_I="SI",Datos!I15,Datos!I15+Datos!AC15)),IF(D_I="SI",Datos!I15,Datos!I15+Datos!AC15)," - ")</f>
        <v>1846</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56</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1296</v>
      </c>
      <c r="AC15" s="1215">
        <f>IF(ISNUMBER(Datos!Q15),Datos!Q15," - ")</f>
        <v>29</v>
      </c>
      <c r="AD15" s="1247"/>
      <c r="AE15" s="1262"/>
      <c r="AF15" s="1333">
        <f>IF(ISNUMBER(IF(D_I="SI",Datos!L15,Datos!L15+Datos!AF15)),IF(D_I="SI",Datos!L15,Datos!L15+Datos!AF15)," - ")</f>
        <v>1966</v>
      </c>
      <c r="AG15" s="1247"/>
      <c r="AH15" s="1247"/>
      <c r="AI15" s="1247"/>
      <c r="AJ15" s="1247"/>
      <c r="AK15" s="1247"/>
      <c r="AL15" s="1258"/>
      <c r="AM15" s="1248">
        <f>IF(ISNUMBER(Datos!R15),Datos!R15," - ")</f>
        <v>344</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216</v>
      </c>
      <c r="BD15" s="1218">
        <f>IF(ISNUMBER(Datos!N15),Datos!N15," - ")</f>
        <v>785</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1.0426387771520516</v>
      </c>
      <c r="BH15" s="1226">
        <f>IF(ISNUMBER(((IF(D_I="SI",Datos!L15/Datos!K15,(Datos!L15+Datos!AF15)/(Datos!K15+Datos!AE15)))*11)/factor_trimestre),((IF(D_I="SI",Datos!L15/Datos!K15,(Datos!L15+Datos!AF15)/(Datos!K15+Datos!AE15)))*11)/factor_trimestre," - ")</f>
        <v>4.5509259259259256</v>
      </c>
      <c r="BI15" s="1223">
        <f>IF(ISNUMBER('Resol  Asuntos'!D15/NºAsuntos!G15),'Resol  Asuntos'!D15/NºAsuntos!G15," - ")</f>
        <v>0.16666666666666666</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f>IF(ISNUMBER(AF17+AB17-Datos!J17-L17),AF17+AB17-Datos!J17-L17," - ")</f>
        <v>71</v>
      </c>
      <c r="G17" s="1335">
        <f>IF(ISNUMBER(IF(D_I="SI",Datos!I17,Datos!I17+Datos!AC17)),IF(D_I="SI",Datos!I17,Datos!I17+Datos!AC17)," - ")</f>
        <v>77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12</v>
      </c>
      <c r="AC17" s="1215">
        <f>IF(ISNUMBER(Datos!Q17),Datos!Q17," - ")</f>
        <v>0</v>
      </c>
      <c r="AD17" s="1247"/>
      <c r="AE17" s="1262"/>
      <c r="AF17" s="1333">
        <f>IF(ISNUMBER(IF(D_I="SI",Datos!L17,Datos!L17+Datos!AF17)),IF(D_I="SI",Datos!L17,Datos!L17+Datos!AF17)," - ")</f>
        <v>63</v>
      </c>
      <c r="AG17" s="1247"/>
      <c r="AH17" s="1247"/>
      <c r="AI17" s="1247"/>
      <c r="AJ17" s="1247"/>
      <c r="AK17" s="1247"/>
      <c r="AL17" s="1258"/>
      <c r="AM17" s="1248">
        <f>IF(ISNUMBER(Datos!R17),Datos!R17," - ")</f>
        <v>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0</v>
      </c>
      <c r="BD17" s="1218">
        <f>IF(ISNUMBER(Datos!N17),Datos!N17," - ")</f>
        <v>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3</v>
      </c>
      <c r="BH17" s="1226">
        <f>IF(ISNUMBER(((IF(D_I="SI",Datos!L17/Datos!K17,(Datos!L17+Datos!AF17)/(Datos!K17+Datos!AE17)))*11)/factor_trimestre),((IF(D_I="SI",Datos!L17/Datos!K17,(Datos!L17+Datos!AF17)/(Datos!K17+Datos!AE17)))*11)/factor_trimestre," - ")</f>
        <v>15.75</v>
      </c>
      <c r="BI17" s="1223">
        <f>IF(ISNUMBER('Resol  Asuntos'!D17/NºAsuntos!G17),'Resol  Asuntos'!D17/NºAsuntos!G17," - ")</f>
        <v>0</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317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83</v>
      </c>
      <c r="AC18" s="1215">
        <f>IF(ISNUMBER(Datos!Q18),Datos!Q18," - ")</f>
        <v>2</v>
      </c>
      <c r="AD18" s="1247"/>
      <c r="AE18" s="1262"/>
      <c r="AF18" s="1245">
        <f>IF(ISNUMBER(Datos!L18),Datos!L18,"-")</f>
        <v>335</v>
      </c>
      <c r="AG18" s="1247"/>
      <c r="AH18" s="1247"/>
      <c r="AI18" s="1247"/>
      <c r="AJ18" s="1247"/>
      <c r="AK18" s="1247"/>
      <c r="AL18" s="1258"/>
      <c r="AM18" s="1248">
        <f>IF(ISNUMBER(Datos!R18),Datos!R18," - ")</f>
        <v>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47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0.91208791208791207</v>
      </c>
      <c r="BH18" s="1226">
        <f>IF(ISNUMBER(((IF(D_I="SI",Datos!L18/Datos!K18,(Datos!L18+Datos!AF18)/(Datos!K18+Datos!AE18)))*11)/factor_trimestre),((IF(D_I="SI",Datos!L18/Datos!K18,(Datos!L18+Datos!AF18)/(Datos!K18+Datos!AE18)))*11)/factor_trimestre," - ")</f>
        <v>12.108433734939759</v>
      </c>
      <c r="BI18" s="1223">
        <f>IF(ISNUMBER('Resol  Asuntos'!D18/NºAsuntos!G18),'Resol  Asuntos'!D18/NºAsuntos!G18," - ")</f>
        <v>2.4096385542168676E-2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2090</v>
      </c>
      <c r="G19" s="1391">
        <f>SUBTOTAL(9,G15:G18)</f>
        <v>2240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1391</v>
      </c>
      <c r="AC19" s="1392">
        <f t="shared" si="4"/>
        <v>31</v>
      </c>
      <c r="AD19" s="1392">
        <f t="shared" si="4"/>
        <v>0</v>
      </c>
      <c r="AE19" s="1392">
        <f t="shared" si="4"/>
        <v>0</v>
      </c>
      <c r="AF19" s="1392">
        <f t="shared" si="4"/>
        <v>2364</v>
      </c>
      <c r="AG19" s="1392">
        <f t="shared" si="4"/>
        <v>0</v>
      </c>
      <c r="AH19" s="1392">
        <f t="shared" si="4"/>
        <v>0</v>
      </c>
      <c r="AI19" s="1392">
        <f t="shared" si="4"/>
        <v>0</v>
      </c>
      <c r="AJ19" s="1392">
        <f t="shared" si="4"/>
        <v>0</v>
      </c>
      <c r="AK19" s="1392">
        <f t="shared" si="4"/>
        <v>0</v>
      </c>
      <c r="AL19" s="1392">
        <f t="shared" si="4"/>
        <v>0</v>
      </c>
      <c r="AM19" s="1392">
        <f t="shared" si="4"/>
        <v>347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218</v>
      </c>
      <c r="BD19" s="1392">
        <f t="shared" si="4"/>
        <v>834</v>
      </c>
      <c r="BE19" s="1392">
        <f t="shared" si="4"/>
        <v>0</v>
      </c>
      <c r="BF19" s="1392">
        <f t="shared" si="4"/>
        <v>0</v>
      </c>
      <c r="BG19" s="1392">
        <f>IF(ISNUMBER(Datos!K19/Datos!J19),Datos!K19/Datos!J19," - ")</f>
        <v>1.039611360239163</v>
      </c>
      <c r="BH19" s="1396">
        <f>IF(ISNUMBER(((Datos!L19/Datos!K19)*11)/factor_trimestre),((Datos!L19/Datos!K19)*11)/factor_trimestre," - ")</f>
        <v>5.0984902947519775</v>
      </c>
      <c r="BI19" s="1392">
        <f>SUBTOTAL(9,BI15:BI18)</f>
        <v>0.19076305220883533</v>
      </c>
      <c r="BJ19" s="1392">
        <f>SUBTOTAL(9,BJ15:BJ18)</f>
        <v>0</v>
      </c>
      <c r="BK19" s="1392">
        <f>SUBTOTAL(9,BK15:BK18)</f>
        <v>0</v>
      </c>
      <c r="BL19" s="1392">
        <f>IF(ISNUMBER((I19-AB19+L19)/(F19)),(I19-AB19+L19)/(F19)," - ")</f>
        <v>-0.66555023923444978</v>
      </c>
      <c r="BM19" s="1398">
        <f>IF(ISNUMBER((Datos!P19-Datos!Q19)/(Datos!R19-Datos!P19+Datos!Q19)),(Datos!P19-Datos!Q19)/(Datos!R19-Datos!P19+Datos!Q19)," - ")</f>
        <v>7.7639751552795025E-2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9</v>
      </c>
      <c r="F20" s="1367">
        <f t="shared" si="6"/>
        <v>2133</v>
      </c>
      <c r="G20" s="1367">
        <f t="shared" si="6"/>
        <v>2288</v>
      </c>
      <c r="H20" s="1369">
        <f t="shared" si="6"/>
        <v>0</v>
      </c>
      <c r="I20" s="1367">
        <f t="shared" si="6"/>
        <v>0</v>
      </c>
      <c r="J20" s="1369">
        <f t="shared" si="6"/>
        <v>0</v>
      </c>
      <c r="K20" s="1369">
        <f t="shared" si="6"/>
        <v>0</v>
      </c>
      <c r="L20" s="1386">
        <f t="shared" si="6"/>
        <v>0</v>
      </c>
      <c r="M20" s="1386">
        <f t="shared" si="6"/>
        <v>0</v>
      </c>
      <c r="N20" s="1386">
        <f t="shared" si="6"/>
        <v>181</v>
      </c>
      <c r="O20" s="1386">
        <f t="shared" si="6"/>
        <v>0</v>
      </c>
      <c r="P20" s="1386">
        <f t="shared" si="6"/>
        <v>0</v>
      </c>
      <c r="Q20" s="1369">
        <f t="shared" si="6"/>
        <v>558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1399</v>
      </c>
      <c r="AC20" s="1368">
        <f t="shared" si="7"/>
        <v>341</v>
      </c>
      <c r="AD20" s="1368">
        <f t="shared" si="7"/>
        <v>0</v>
      </c>
      <c r="AE20" s="1368">
        <f t="shared" si="7"/>
        <v>0</v>
      </c>
      <c r="AF20" s="1371">
        <f t="shared" si="7"/>
        <v>2426</v>
      </c>
      <c r="AG20" s="1371">
        <f t="shared" si="7"/>
        <v>0</v>
      </c>
      <c r="AH20" s="1371">
        <f t="shared" si="7"/>
        <v>94</v>
      </c>
      <c r="AI20" s="1371">
        <f t="shared" si="7"/>
        <v>0</v>
      </c>
      <c r="AJ20" s="1368">
        <f t="shared" si="7"/>
        <v>0</v>
      </c>
      <c r="AK20" s="1371">
        <f t="shared" si="7"/>
        <v>0</v>
      </c>
      <c r="AL20" s="1371">
        <f t="shared" si="7"/>
        <v>0</v>
      </c>
      <c r="AM20" s="1371">
        <f t="shared" si="7"/>
        <v>9481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944</v>
      </c>
      <c r="BD20" s="1367">
        <f t="shared" si="7"/>
        <v>1514</v>
      </c>
      <c r="BE20" s="1367">
        <f t="shared" si="7"/>
        <v>0</v>
      </c>
      <c r="BF20" s="1373">
        <f t="shared" si="7"/>
        <v>0</v>
      </c>
      <c r="BG20" s="1404">
        <f>IF(ISNUMBER(Datos!K20/Datos!J20),Datos!K20/Datos!J20," - ")</f>
        <v>1.0413771320277954</v>
      </c>
      <c r="BH20" s="1404">
        <f>IF(ISNUMBER(((Datos!L20/Datos!K20)*11)/factor_trimestre),((Datos!L20/Datos!K20)*11)/factor_trimestre," - ")</f>
        <v>4.4504094631483166</v>
      </c>
      <c r="BI20" s="1362">
        <f>IF(ISNUMBER(Datos!J20/Datos!I20),Datos!J20/Datos!I20," - ")</f>
        <v>0.65278350515463912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-0.65588373183309889</v>
      </c>
      <c r="BM20" s="1387">
        <f>IF(ISNUMBER((Datos!P20-Datos!Q20+R20)/(Datos!R20-Datos!P20+Datos!Q20-R20)),(Datos!P20-Datos!Q20+R20)/(Datos!R20-Datos!P20+Datos!Q20-R20)," - ")</f>
        <v>2.3424006908462868E-2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762.66666666666663</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2.5298221281347035</v>
      </c>
      <c r="F22" s="1298">
        <f>IF(ISNUMBER(STDEV(F8:F19)),STDEV(F8:F19),"-")</f>
        <v>1096.9786688901474</v>
      </c>
      <c r="G22" s="1299">
        <f>IF(ISNUMBER(STDEV(G8:G19)),STDEV(G8:G19),"-")</f>
        <v>1004.6272277151694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680.71393893960078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316.52533186821825</v>
      </c>
      <c r="BD22" s="1298"/>
      <c r="BE22" s="1298">
        <f>IF(ISNUMBER(STDEV(BE8:BE19)),STDEV(BE8:BE19),"-")</f>
        <v>0</v>
      </c>
      <c r="BF22" s="1303">
        <f>IF(ISNUMBER(STDEV(BF8:BF19)),STDEV(BF8:BF19),"-")</f>
        <v>0</v>
      </c>
      <c r="BG22" s="1360">
        <f>IF(ISNUMBER(STDEV(BG8:BG19)),STDEV(BG8:BG19),"-")</f>
        <v>1.2590843947759833</v>
      </c>
      <c r="BH22" s="1361">
        <f>IF(ISNUMBER(STDEV(BH8:BH19)),STDEV(BH8:BH19),"-")</f>
        <v>7.0075449739847011</v>
      </c>
      <c r="BI22" s="1224">
        <f>IF(ISNUMBER(STDEV(BI8:BI19)),STDEV(BI8:BI19),"-")</f>
        <v>0.1391492385405238</v>
      </c>
      <c r="BJ22" s="1219" t="str">
        <f>IF(ISNUMBER(BL22/BM22),BL22/BM22," - ")</f>
        <v xml:space="preserve"> - </v>
      </c>
      <c r="BK22" s="1320"/>
      <c r="BL22" s="1306">
        <f>IF(ISNUMBER(STDEV(BL8:BL19)),STDEV(BL8:BL19),"-")</f>
        <v>0.3390603373948135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jDgqGvVHPIL51KW8W6vQoNpT6SXYFsFVz3MFpwPv+cwnd2yu35DdiWLsUIQzzJzoqowdHw4KRxUC8lKU2F3IUA==" saltValue="Ok/87KdDFOuSRJOGZdCqd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LEON  Resumenes por Partidos Judiciales  PONFERRADA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500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294</v>
      </c>
      <c r="AA9" s="331" t="str">
        <f>IF(ISNUMBER(IF(J_V="SI",Datos!L9,Datos!L9+Datos!AB9)-IF(Monitorios="SI",Datos!CD9,0)),
                          IF(J_V="SI",Datos!L9,Datos!L9+Datos!AB9)-IF(Monitorios="SI",Datos!CD9,0),
                          " - ")</f>
        <v xml:space="preserve"> - </v>
      </c>
      <c r="AB9" s="333"/>
      <c r="AC9" s="333"/>
      <c r="AD9" s="483"/>
      <c r="AE9" s="483">
        <f>IF(ISNUMBER(Datos!R9),Datos!R9," - ")</f>
        <v>7314</v>
      </c>
      <c r="AF9" s="228" t="str">
        <f>IF(ISNUMBER(Datos!BV9),Datos!BV9," - ")</f>
        <v xml:space="preserve"> - </v>
      </c>
      <c r="AG9" s="224" t="str">
        <f>IF(ISNUMBER(Datos!DV9),Datos!DV9," - ")</f>
        <v xml:space="preserve"> - </v>
      </c>
      <c r="AH9" s="297"/>
      <c r="AI9" s="226"/>
      <c r="AJ9" s="224">
        <f>IF(ISNUMBER(Datos!M9),Datos!M9," - ")</f>
        <v>725</v>
      </c>
      <c r="AK9" s="228">
        <f>IF(ISNUMBER(Datos!N9),Datos!N9," - ")</f>
        <v>678</v>
      </c>
      <c r="AL9" s="228" t="str">
        <f>IF(ISNUMBER(Datos!BW9),Datos!BW9," - ")</f>
        <v xml:space="preserve"> - </v>
      </c>
      <c r="AM9" s="227" t="str">
        <f>IF(ISNUMBER(Datos!BX9),Datos!BX9," - ")</f>
        <v xml:space="preserve"> - </v>
      </c>
      <c r="AN9" s="242"/>
      <c r="AO9" s="259">
        <f>IF(ISNUMBER(((NºAsuntos!I9/NºAsuntos!G9)*11)/factor_trimestre),((NºAsuntos!I9/NºAsuntos!G9)*11)/factor_trimestre," - ")</f>
        <v>3.6288022813688214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2.8981429375351718E-2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43</v>
      </c>
      <c r="G10" s="224">
        <f>IF(ISNUMBER(Datos!I10),Datos!I10," - ")</f>
        <v>48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8</v>
      </c>
      <c r="Z10" s="617">
        <f>IF(ISNUMBER(Datos!Q10),Datos!Q10," - ")</f>
        <v>1</v>
      </c>
      <c r="AA10" s="331">
        <f>IF(ISNUMBER(Datos!L10),Datos!L10,"-")</f>
        <v>62</v>
      </c>
      <c r="AB10" s="333"/>
      <c r="AC10" s="333"/>
      <c r="AD10" s="483"/>
      <c r="AE10" s="483">
        <f>IF(ISNUMBER(Datos!R10),Datos!R10," - ")</f>
        <v>31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23.25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3.3333333333333333E-2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15</v>
      </c>
      <c r="AA12" s="331" t="str">
        <f>IF(ISNUMBER(IF(J_V="SI",Datos!L12,Datos!L12+Datos!AB12)-IF(Monitorios="SI",Datos!CD12,0)),
                          IF(J_V="SI",Datos!L12,Datos!L12+Datos!AB12)-IF(Monitorios="SI",Datos!CD12,0),
                          " - ")</f>
        <v xml:space="preserve"> - </v>
      </c>
      <c r="AB12" s="333"/>
      <c r="AC12" s="333"/>
      <c r="AD12" s="483"/>
      <c r="AE12" s="483">
        <f>IF(ISNUMBER(Datos!R12),Datos!R12," - ")</f>
        <v>1789</v>
      </c>
      <c r="AF12" s="228" t="str">
        <f>IF(ISNUMBER(Datos!BV12),Datos!BV12," - ")</f>
        <v xml:space="preserve"> - </v>
      </c>
      <c r="AG12" s="224" t="str">
        <f>IF(ISNUMBER(Datos!DV12),Datos!DV12," - ")</f>
        <v xml:space="preserve"> - </v>
      </c>
      <c r="AH12" s="297"/>
      <c r="AI12" s="226"/>
      <c r="AJ12" s="224">
        <f>IF(ISNUMBER(Datos!M12),Datos!M12," - ")</f>
        <v>1</v>
      </c>
      <c r="AK12" s="228">
        <f>IF(ISNUMBER(Datos!N12),Datos!N12," - ")</f>
        <v>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-8.3148558758314849E-3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43</v>
      </c>
      <c r="G13" s="895">
        <f>SUBTOTAL(9,G8:G12)</f>
        <v>48</v>
      </c>
      <c r="H13" s="905"/>
      <c r="I13" s="895">
        <f t="shared" ref="I13:N13" si="0">SUBTOTAL(9,I8:I12)</f>
        <v>0</v>
      </c>
      <c r="J13" s="864">
        <f t="shared" si="0"/>
        <v>0</v>
      </c>
      <c r="K13" s="905">
        <f t="shared" si="0"/>
        <v>0</v>
      </c>
      <c r="L13" s="905">
        <f t="shared" si="0"/>
        <v>0</v>
      </c>
      <c r="M13" s="905">
        <f t="shared" si="0"/>
        <v>0</v>
      </c>
      <c r="N13" s="905">
        <f t="shared" si="0"/>
        <v>502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8</v>
      </c>
      <c r="Z13" s="904">
        <f t="shared" si="2"/>
        <v>310</v>
      </c>
      <c r="AA13" s="897">
        <f t="shared" si="2"/>
        <v>62</v>
      </c>
      <c r="AB13" s="897">
        <f t="shared" si="2"/>
        <v>0</v>
      </c>
      <c r="AC13" s="897">
        <f t="shared" si="2"/>
        <v>0</v>
      </c>
      <c r="AD13" s="897">
        <f t="shared" si="2"/>
        <v>0</v>
      </c>
      <c r="AE13" s="897">
        <f t="shared" si="2"/>
        <v>9134</v>
      </c>
      <c r="AF13" s="905">
        <f t="shared" si="2"/>
        <v>0</v>
      </c>
      <c r="AG13" s="905">
        <f t="shared" si="2"/>
        <v>0</v>
      </c>
      <c r="AH13" s="905">
        <f t="shared" si="2"/>
        <v>0</v>
      </c>
      <c r="AI13" s="905">
        <f t="shared" si="2"/>
        <v>0</v>
      </c>
      <c r="AJ13" s="905">
        <f t="shared" si="2"/>
        <v>726</v>
      </c>
      <c r="AK13" s="905">
        <f t="shared" si="2"/>
        <v>680</v>
      </c>
      <c r="AL13" s="905">
        <f t="shared" si="2"/>
        <v>0</v>
      </c>
      <c r="AM13" s="905">
        <f t="shared" si="2"/>
        <v>0</v>
      </c>
      <c r="AN13" s="905">
        <f t="shared" si="2"/>
        <v>0</v>
      </c>
      <c r="AO13" s="901">
        <f>IF(ISNUMBER(((NºAsuntos!I13/NºAsuntos!G13)*11)/factor_trimestre),((NºAsuntos!I13/NºAsuntos!G13)*11)/factor_trimestre," - ")</f>
        <v>3.7159735349716443</v>
      </c>
      <c r="AP13" s="907" t="str">
        <f>IF(ISNUMBER(Datos!CI13/Datos!CJ13),Datos!CI13/Datos!CJ13," - ")</f>
        <v xml:space="preserve"> - </v>
      </c>
      <c r="AQ13" s="923">
        <f t="shared" ref="AQ13:AV13" si="3">SUBTOTAL(9,AQ9:AQ12)</f>
        <v>0</v>
      </c>
      <c r="AR13" s="923">
        <f t="shared" si="3"/>
        <v>5.3999906832853564E-2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3</v>
      </c>
      <c r="B15" s="506" t="s">
        <v>397</v>
      </c>
      <c r="C15" s="159" t="str">
        <f>Datos!A15</f>
        <v xml:space="preserve">Seccion Instruccion Del T.I.                   </v>
      </c>
      <c r="D15" s="501"/>
      <c r="E15" s="1163">
        <f>IF(ISNUMBER(Datos!AQ15),Datos!AQ15," - ")</f>
        <v>3</v>
      </c>
      <c r="F15" s="332">
        <f>IF(ISNUMBER(AA15+Y15-Datos!J15-K15),AA15+Y15-Datos!J15-K15," - ")</f>
        <v>2019</v>
      </c>
      <c r="G15" s="224">
        <f>IF(ISNUMBER(IF(D_I="SI",Datos!I15,Datos!I15+Datos!AC15)),IF(D_I="SI",Datos!I15,Datos!I15+Datos!AC15)," - ")</f>
        <v>1846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56</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1296</v>
      </c>
      <c r="Z15" s="617">
        <f>IF(ISNUMBER(Datos!Q15),Datos!Q15," - ")</f>
        <v>29</v>
      </c>
      <c r="AA15" s="331">
        <f>IF(ISNUMBER(IF(D_I="SI",Datos!L15,Datos!L15+Datos!AF15)),IF(D_I="SI",Datos!L15,Datos!L15+Datos!AF15)," - ")</f>
        <v>1966</v>
      </c>
      <c r="AB15" s="333"/>
      <c r="AC15" s="333"/>
      <c r="AD15" s="483"/>
      <c r="AE15" s="483">
        <f>IF(ISNUMBER(Datos!R15),Datos!R15," - ")</f>
        <v>344</v>
      </c>
      <c r="AF15" s="228" t="str">
        <f>IF(ISNUMBER(Datos!BV15),Datos!BV15," - ")</f>
        <v xml:space="preserve"> - </v>
      </c>
      <c r="AG15" s="224"/>
      <c r="AH15" s="297"/>
      <c r="AI15" s="226"/>
      <c r="AJ15" s="224">
        <f>IF(ISNUMBER(Datos!M15),Datos!M15," - ")</f>
        <v>216</v>
      </c>
      <c r="AK15" s="228">
        <f>IF(ISNUMBER(Datos!N15),Datos!N15," - ")</f>
        <v>785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4.5509259259259256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f>IF(ISNUMBER(AA17+Y17-Datos!J17-K15),AA17+Y17-Datos!J17-K15," - ")</f>
        <v>71</v>
      </c>
      <c r="G17" s="224">
        <f>IF(ISNUMBER(IF(D_I="SI",Datos!I17,Datos!I17+Datos!AC17)),IF(D_I="SI",Datos!I17,Datos!I17+Datos!AC17)," - ")</f>
        <v>77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12</v>
      </c>
      <c r="Z17" s="617">
        <f>IF(ISNUMBER(Datos!Q17),Datos!Q17," - ")</f>
        <v>0</v>
      </c>
      <c r="AA17" s="331">
        <f>IF(ISNUMBER(IF(D_I="SI",Datos!L17,Datos!L17+Datos!AF17)),IF(D_I="SI",Datos!L17,Datos!L17+Datos!AF17)," - ")</f>
        <v>63</v>
      </c>
      <c r="AB17" s="333"/>
      <c r="AC17" s="333"/>
      <c r="AD17" s="483"/>
      <c r="AE17" s="483">
        <f>IF(ISNUMBER(Datos!R17),Datos!R17," - ")</f>
        <v>0</v>
      </c>
      <c r="AF17" s="228" t="str">
        <f>IF(ISNUMBER(Datos!BV17),Datos!BV17," - ")</f>
        <v xml:space="preserve"> - </v>
      </c>
      <c r="AG17" s="224"/>
      <c r="AH17" s="297"/>
      <c r="AI17" s="226"/>
      <c r="AJ17" s="224">
        <f>IF(ISNUMBER(Datos!M17),Datos!M17," - ")</f>
        <v>0</v>
      </c>
      <c r="AK17" s="228">
        <f>IF(ISNUMBER(Datos!N17),Datos!N17," - ")</f>
        <v>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15.75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317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83</v>
      </c>
      <c r="Z18" s="617">
        <f>IF(ISNUMBER(Datos!Q18),Datos!Q18," - ")</f>
        <v>2</v>
      </c>
      <c r="AA18" s="331">
        <f>IF(ISNUMBER(Datos!L18),Datos!L18,"-")</f>
        <v>335</v>
      </c>
      <c r="AB18" s="333"/>
      <c r="AC18" s="333"/>
      <c r="AD18" s="483"/>
      <c r="AE18" s="483">
        <f>IF(ISNUMBER(Datos!R18),Datos!R18," - ")</f>
        <v>3</v>
      </c>
      <c r="AF18" s="228" t="str">
        <f>IF(ISNUMBER(Datos!BV18),Datos!BV18," - ")</f>
        <v xml:space="preserve"> - </v>
      </c>
      <c r="AG18" s="224" t="str">
        <f>IF(ISNUMBER(Datos!DV18),Datos!DV18," - ")</f>
        <v xml:space="preserve"> - </v>
      </c>
      <c r="AH18" s="297"/>
      <c r="AI18" s="226"/>
      <c r="AJ18" s="224">
        <f>IF(ISNUMBER(Datos!M18),Datos!M18," - ")</f>
        <v>2</v>
      </c>
      <c r="AK18" s="228">
        <f>IF(ISNUMBER(Datos!N18),Datos!N18," - ")</f>
        <v>47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12.108433734939759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2090</v>
      </c>
      <c r="G19" s="895">
        <f>SUBTOTAL(9,G15:G18)</f>
        <v>2240</v>
      </c>
      <c r="H19" s="927">
        <f>SUBTOTAL(9,H15:H18)</f>
        <v>0</v>
      </c>
      <c r="I19" s="908">
        <f>SUBTOTAL(9,I15:I18)</f>
        <v>0</v>
      </c>
      <c r="J19" s="864">
        <f>SUBTOTAL(9,J14:J18)</f>
        <v>0</v>
      </c>
      <c r="K19" s="927">
        <f t="shared" ref="K19:S19" si="4">SUBTOTAL(9,K15:K18)</f>
        <v>0</v>
      </c>
      <c r="L19" s="927">
        <f t="shared" si="4"/>
        <v>0</v>
      </c>
      <c r="M19" s="927">
        <f t="shared" si="4"/>
        <v>0</v>
      </c>
      <c r="N19" s="927">
        <f t="shared" si="4"/>
        <v>56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1391</v>
      </c>
      <c r="Z19" s="927">
        <f t="shared" si="5"/>
        <v>31</v>
      </c>
      <c r="AA19" s="927">
        <f t="shared" si="5"/>
        <v>2364</v>
      </c>
      <c r="AB19" s="927">
        <f t="shared" si="5"/>
        <v>0</v>
      </c>
      <c r="AC19" s="927">
        <f t="shared" si="5"/>
        <v>0</v>
      </c>
      <c r="AD19" s="927">
        <f t="shared" si="5"/>
        <v>0</v>
      </c>
      <c r="AE19" s="927">
        <f t="shared" si="5"/>
        <v>347</v>
      </c>
      <c r="AF19" s="927">
        <f t="shared" si="5"/>
        <v>0</v>
      </c>
      <c r="AG19" s="927">
        <f t="shared" si="5"/>
        <v>0</v>
      </c>
      <c r="AH19" s="927">
        <f t="shared" si="5"/>
        <v>0</v>
      </c>
      <c r="AI19" s="927">
        <f t="shared" si="5"/>
        <v>0</v>
      </c>
      <c r="AJ19" s="927">
        <f t="shared" si="5"/>
        <v>218</v>
      </c>
      <c r="AK19" s="927">
        <f t="shared" si="5"/>
        <v>834</v>
      </c>
      <c r="AL19" s="927">
        <f t="shared" si="5"/>
        <v>0</v>
      </c>
      <c r="AM19" s="927">
        <f t="shared" si="5"/>
        <v>0</v>
      </c>
      <c r="AN19" s="927">
        <f t="shared" si="5"/>
        <v>0</v>
      </c>
      <c r="AO19" s="929">
        <f>IF(ISNUMBER(((NºAsuntos!I19/NºAsuntos!G19)*11)/factor_trimestre),((NºAsuntos!I19/NºAsuntos!G19)*11)/factor_trimestre," - ")</f>
        <v>5.0984902947519775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9</v>
      </c>
      <c r="F20" s="817">
        <f t="shared" si="7"/>
        <v>2133</v>
      </c>
      <c r="G20" s="817">
        <f t="shared" si="7"/>
        <v>2288</v>
      </c>
      <c r="H20" s="818">
        <f t="shared" si="7"/>
        <v>0</v>
      </c>
      <c r="I20" s="817">
        <f t="shared" si="7"/>
        <v>0</v>
      </c>
      <c r="J20" s="819">
        <f t="shared" si="7"/>
        <v>0</v>
      </c>
      <c r="K20" s="817">
        <f t="shared" si="7"/>
        <v>0</v>
      </c>
      <c r="L20" s="820">
        <f t="shared" si="7"/>
        <v>0</v>
      </c>
      <c r="M20" s="817">
        <f t="shared" si="7"/>
        <v>0</v>
      </c>
      <c r="N20" s="818">
        <f t="shared" si="7"/>
        <v>558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1399</v>
      </c>
      <c r="Z20" s="824">
        <f t="shared" si="8"/>
        <v>341</v>
      </c>
      <c r="AA20" s="825">
        <f t="shared" si="8"/>
        <v>2426</v>
      </c>
      <c r="AB20" s="825">
        <f t="shared" si="8"/>
        <v>0</v>
      </c>
      <c r="AC20" s="825">
        <f t="shared" si="8"/>
        <v>0</v>
      </c>
      <c r="AD20" s="826">
        <f t="shared" si="8"/>
        <v>0</v>
      </c>
      <c r="AE20" s="826">
        <f t="shared" si="8"/>
        <v>9481</v>
      </c>
      <c r="AF20" s="827">
        <f t="shared" si="8"/>
        <v>0</v>
      </c>
      <c r="AG20" s="828">
        <f t="shared" si="8"/>
        <v>0</v>
      </c>
      <c r="AH20" s="829">
        <f t="shared" si="8"/>
        <v>0</v>
      </c>
      <c r="AI20" s="827">
        <f t="shared" si="8"/>
        <v>0</v>
      </c>
      <c r="AJ20" s="817">
        <f t="shared" si="8"/>
        <v>944</v>
      </c>
      <c r="AK20" s="817">
        <f t="shared" si="8"/>
        <v>1514</v>
      </c>
      <c r="AL20" s="817">
        <f t="shared" si="8"/>
        <v>0</v>
      </c>
      <c r="AM20" s="830">
        <f t="shared" si="8"/>
        <v>0</v>
      </c>
      <c r="AN20" s="820">
        <f>IF(ISNUMBER(Datos!K20/Datos!J20),Datos!K20/Datos!J20," - ")</f>
        <v>1.0413771320277954</v>
      </c>
      <c r="AO20" s="820">
        <f>IF(ISNUMBER(FIND("06",Criterios!A8,1)),(IF(ISNUMBER(((Datos!R20/Datos!Q20)*11)/factor_trimestre),((Datos!R20/Datos!Q20)*11)/factor_trimestre," - ")),(IF(ISNUMBER(((Datos!L20/Datos!K20)*11)/factor_trimestre),((Datos!L20/Datos!K20)*11)/factor_trimestre," - ")))</f>
        <v>4.4504094631483166</v>
      </c>
      <c r="AP20" s="831" t="str">
        <f>IF(ISNUMBER(Datos!CI20/Datos!CJ20),Datos!CI20/Datos!CJ20," - ")</f>
        <v xml:space="preserve"> - </v>
      </c>
      <c r="AQ20" s="831">
        <f>IF(OR(ISNUMBER(FIND("01",Criterios!A8,1)),ISNUMBER(FIND("02",Criterios!A8,1)),ISNUMBER(FIND("03",Criterios!A8,1)),ISNUMBER(FIND("04",Criterios!A8,1))),(J20-Y20+K20)/(F20-K20),(I20-Y20+K20)/(F20-K20))</f>
        <v>-0.65588373183309889</v>
      </c>
      <c r="AR20" s="831">
        <f>IF(ISNUMBER((Datos!P20-Datos!Q20+O20)/(Datos!R20-Datos!P20+Datos!Q20-O20)),(Datos!P20-Datos!Q20+O20)/(Datos!R20-Datos!P20+Datos!Q20-O20)," - ")</f>
        <v>2.3424006908462868E-2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762.66666666666663</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1096.9786688901474</v>
      </c>
      <c r="G22" s="551">
        <f>IF(ISNUMBER(STDEV(G8:G19)),STDEV(G8:G19),"-")</f>
        <v>1004.6272277151694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316.52533186821825</v>
      </c>
      <c r="AK22" s="251"/>
      <c r="AL22" s="251">
        <f>IF(ISNUMBER(STDEV(AL8:AL19)),STDEV(AL8:AL19),"-")</f>
        <v>0</v>
      </c>
      <c r="AM22" s="253">
        <f>IF(ISNUMBER(STDEV(AM8:AM19)),STDEV(AM8:AM19),"-")</f>
        <v>0</v>
      </c>
      <c r="AN22" s="538">
        <f>IF(ISNUMBER(STDEV(AN8:AN19)),STDEV(AN8:AN19),"-")</f>
        <v>0</v>
      </c>
      <c r="AO22" s="539">
        <f>IF(ISNUMBER(STDEV(AO8:AO19)),STDEV(AO8:AO19),"-")</f>
        <v>7.0394273875430411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rYASkdsgslkzc3alRfa4xNW7qgZ6E7YOPLf+QUOrGJ8VO2ZIJ6jzDFQ08yK+wWx3O0Kmov7oNDMx2etyxt5HhQ==" saltValue="MG7CfZyrcsZGFsxV0DWM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oQIO7EyL1+5e9637cmt12mBgL5xKS/9RCLE85kMFu00Jfq/KZmi8hYTqgpg+rDiubIoYG8ju/RLdaaONE41Jxg==" saltValue="YN58nUvywZTdxs2F6HUm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nRPvfgtN6vlmOn96OcG2dRUqjNTgAlBp5vifk4f4uhsCfycoNgOnMbrnnvBuSYAp0IHvqRrD68fS9hKh4ynkA==" saltValue="h4qGKE13VaGuJmnzD2Rdy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LEON  Resumenes por Partidos Judiciales  PONFERRADA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0.34310018903591682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0.24260847029368313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g1Kw/6JeGw73MxD1YenISCl48dsMsbwT61G2MnKrda8KksojkwLswBIVnr10IBRQTp5O+dBb/ADVsq9xOSa9nw==" saltValue="/7jzRvBIN7lOWDkzt2lIF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QkqB9d1Bd/kWGwPjE0mGXenW4PYkO0kvvtGgDYRQSadyJsTW3nlWX6GaA6Q3AnWJiZI2Asqh6j2TaBbJAowdrA==" saltValue="tROz4Fw1XRSh2uK5dzFl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LEON</v>
      </c>
      <c r="D3" s="374"/>
      <c r="E3" s="374"/>
      <c r="F3" s="374"/>
      <c r="BQ3" s="470"/>
    </row>
    <row r="4" spans="1:69" ht="13.5" thickBot="1">
      <c r="A4" s="374"/>
      <c r="B4" s="390" t="str">
        <f>Criterios!A11 &amp;"  "&amp;Criterios!B11</f>
        <v>Resumenes por Partidos Judiciales  PONFERRADA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6</v>
      </c>
      <c r="C9" s="402">
        <f>IF(ISNUMBER(IF(J_V="SI",Datos!I9,Datos!I9+Datos!Y9)),IF(J_V="SI",Datos!I9,Datos!I9+Datos!Y9)," - ")</f>
        <v>2668</v>
      </c>
      <c r="D9" s="403">
        <f>IF(ISNUMBER(C9/Datos!BH9),C9/Datos!BH9," - ")</f>
        <v>444.66666666666669</v>
      </c>
      <c r="E9" s="402">
        <f>IF(ISNUMBER(IF(J_V="SI",Datos!J9,Datos!J9+Datos!Z9)),IF(J_V="SI",Datos!J9,Datos!J9+Datos!Z9)," - ")</f>
        <v>1981</v>
      </c>
      <c r="F9" s="403">
        <f>IF(ISNUMBER(E9/B9),E9/B9," - ")</f>
        <v>330.16666666666669</v>
      </c>
      <c r="G9" s="402">
        <f>IF(ISNUMBER(IF(J_V="SI",Datos!K9,Datos!K9+Datos!AA9)),IF(J_V="SI",Datos!K9,Datos!K9+Datos!AA9)," - ")</f>
        <v>2104</v>
      </c>
      <c r="H9" s="403">
        <f>IF(ISNUMBER(G9/B9),G9/B9," - ")</f>
        <v>350.66666666666669</v>
      </c>
      <c r="I9" s="402">
        <f>IF(ISNUMBER(IF(J_V="SI",Datos!L9,Datos!L9+Datos!AB9)),IF(J_V="SI",Datos!L9,Datos!L9+Datos!AB9)," - ")</f>
        <v>2545</v>
      </c>
      <c r="J9" s="403">
        <f>IF(ISNUMBER(I9/B9),I9/B9," - ")</f>
        <v>424.16666666666669</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48</v>
      </c>
      <c r="D10" s="403">
        <f>IF(ISNUMBER(C10/Datos!BH10),C10/Datos!BH10," - ")</f>
        <v>48</v>
      </c>
      <c r="E10" s="402">
        <f>IF(ISNUMBER(Datos!J10),Datos!J10," - ")</f>
        <v>27</v>
      </c>
      <c r="F10" s="403">
        <f>IF(ISNUMBER(E10/B10),E10/B10," - ")</f>
        <v>27</v>
      </c>
      <c r="G10" s="402">
        <f>IF(ISNUMBER(Datos!K10),Datos!K10," - ")</f>
        <v>8</v>
      </c>
      <c r="H10" s="403">
        <f>IF(ISNUMBER(G10/B10),G10/B10," - ")</f>
        <v>8</v>
      </c>
      <c r="I10" s="402">
        <f>IF(ISNUMBER(Datos!L10),Datos!L10," - ")</f>
        <v>62</v>
      </c>
      <c r="J10" s="403">
        <f>IF(ISNUMBER(I10/B10),I10/B10," - ")</f>
        <v>62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f>IF(ISNUMBER(IF(J_V="SI",Datos!I12,Datos!I12+Datos!Y12)),IF(J_V="SI",Datos!I12,Datos!I12+Datos!Y12)," - ")</f>
        <v>17</v>
      </c>
      <c r="D12" s="403" t="str">
        <f>IF(ISNUMBER(C12/Datos!BH12),C12/Datos!BH12," - ")</f>
        <v xml:space="preserve"> - </v>
      </c>
      <c r="E12" s="402">
        <f>IF(ISNUMBER(IF(J_V="SI",Datos!J12,Datos!J12+Datos!Z12)),IF(J_V="SI",Datos!J12,Datos!J12+Datos!Z12)," - ")</f>
        <v>1</v>
      </c>
      <c r="F12" s="403" t="str">
        <f>IF(ISNUMBER(E12/B12),E12/B12," - ")</f>
        <v xml:space="preserve"> - </v>
      </c>
      <c r="G12" s="402">
        <f>IF(ISNUMBER(IF(J_V="SI",Datos!K12,Datos!K12+Datos!AA12)),IF(J_V="SI",Datos!K12,Datos!K12+Datos!AA12)," - ")</f>
        <v>4</v>
      </c>
      <c r="H12" s="403" t="str">
        <f>IF(ISNUMBER(G12/B12),G12/B12," - ")</f>
        <v xml:space="preserve"> - </v>
      </c>
      <c r="I12" s="402">
        <f>IF(ISNUMBER(IF(J_V="SI",Datos!L12,Datos!L12+Datos!AB12)),IF(J_V="SI",Datos!L12,Datos!L12+Datos!AB12)," - ")</f>
        <v>14</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v>
      </c>
      <c r="C13" s="846">
        <f>SUBTOTAL(9,C8:C12)</f>
        <v>2733</v>
      </c>
      <c r="D13" s="847" t="str">
        <f>IF(ISNUMBER(C13/Datos!BI13),C13/Datos!BI13," - ")</f>
        <v xml:space="preserve"> - </v>
      </c>
      <c r="E13" s="846">
        <f>SUBTOTAL(9,E8:E12)</f>
        <v>2009</v>
      </c>
      <c r="F13" s="847">
        <f>IF(ISNUMBER(E13/B13),E13/B13," - ")</f>
        <v>334.83333333333331</v>
      </c>
      <c r="G13" s="846">
        <f>SUBTOTAL(9,G8:G12)</f>
        <v>2116</v>
      </c>
      <c r="H13" s="847">
        <f>IF(ISNUMBER(G13/B13),G13/B13," - ")</f>
        <v>352.66666666666669</v>
      </c>
      <c r="I13" s="846">
        <f>SUBTOTAL(9,I8:I12)</f>
        <v>2621</v>
      </c>
      <c r="J13" s="847">
        <f>IF(ISNUMBER(I13/B13),I13/B13," - ")</f>
        <v>436.83333333333331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3</v>
      </c>
      <c r="C15" s="402">
        <f>IF(ISNUMBER(IF(D_I="SI",Datos!I15,Datos!I15+Datos!AC15)),IF(D_I="SI",Datos!I15,Datos!I15+Datos!AC15)," - ")</f>
        <v>1846</v>
      </c>
      <c r="D15" s="403">
        <f>IF(ISNUMBER(C15/Datos!BH15),C15/Datos!BH15," - ")</f>
        <v>615.33333333333337</v>
      </c>
      <c r="E15" s="402">
        <f>IF(ISNUMBER(IF(D_I="SI",Datos!J15,Datos!J15+Datos!AD15)),IF(D_I="SI",Datos!J15,Datos!J15+Datos!AD15)," - ")</f>
        <v>1243</v>
      </c>
      <c r="F15" s="403">
        <f>IF(ISNUMBER(E15/B15),E15/B15," - ")</f>
        <v>414.33333333333331</v>
      </c>
      <c r="G15" s="402">
        <f>IF(ISNUMBER(IF(D_I="SI",Datos!K15,Datos!K15+Datos!AE15)),IF(D_I="SI",Datos!K15,Datos!K15+Datos!AE15)," - ")</f>
        <v>1296</v>
      </c>
      <c r="H15" s="403">
        <f>IF(ISNUMBER(G15/B15),G15/B15," - ")</f>
        <v>432</v>
      </c>
      <c r="I15" s="402">
        <f>IF(ISNUMBER(IF(D_I="SI",Datos!L15,Datos!L15+Datos!AF15)),IF(D_I="SI",Datos!L15,Datos!L15+Datos!AF15)," - ")</f>
        <v>1966</v>
      </c>
      <c r="J15" s="403">
        <f>IF(ISNUMBER(I15/B15),I15/B15," - ")</f>
        <v>655.33333333333337</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f>IF(ISNUMBER(IF(D_I="SI",Datos!I17,Datos!I17+Datos!AC17)),IF(D_I="SI",Datos!I17,Datos!I17+Datos!AC17)," - ")</f>
        <v>77</v>
      </c>
      <c r="D17" s="403" t="str">
        <f>IF(ISNUMBER(C17/Datos!BH17),C17/Datos!BH17," - ")</f>
        <v xml:space="preserve"> - </v>
      </c>
      <c r="E17" s="402">
        <f>IF(ISNUMBER(IF(D_I="SI",Datos!J17,Datos!J17+Datos!AD17)),IF(D_I="SI",Datos!J17,Datos!J17+Datos!AD17)," - ")</f>
        <v>4</v>
      </c>
      <c r="F17" s="403" t="str">
        <f>IF(ISNUMBER(E17/B17),E17/B17," - ")</f>
        <v xml:space="preserve"> - </v>
      </c>
      <c r="G17" s="402">
        <f>IF(ISNUMBER(IF(D_I="SI",Datos!K17,Datos!K17+Datos!AE17)),IF(D_I="SI",Datos!K17,Datos!K17+Datos!AE17)," - ")</f>
        <v>12</v>
      </c>
      <c r="H17" s="403" t="str">
        <f>IF(ISNUMBER(G17/B17),G17/B17," - ")</f>
        <v xml:space="preserve"> - </v>
      </c>
      <c r="I17" s="402">
        <f>IF(ISNUMBER(IF(D_I="SI",Datos!L17,Datos!L17+Datos!AF17)),IF(D_I="SI",Datos!L17,Datos!L17+Datos!AF17)," - ")</f>
        <v>63</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317</v>
      </c>
      <c r="D18" s="403">
        <f>IF(ISNUMBER(C18/Datos!BH18),C18/Datos!BH18," - ")</f>
        <v>317</v>
      </c>
      <c r="E18" s="402">
        <f>IF(ISNUMBER(IF(D_I="SI",Datos!J18,Datos!J18+Datos!AD18)),IF(D_I="SI",Datos!J18,Datos!J18+Datos!AD18)," - ")</f>
        <v>91</v>
      </c>
      <c r="F18" s="403">
        <f>IF(ISNUMBER(E18/B18),E18/B18," - ")</f>
        <v>91</v>
      </c>
      <c r="G18" s="402">
        <f>IF(ISNUMBER(IF(D_I="SI",Datos!K18,Datos!K18+Datos!AE18)),IF(D_I="SI",Datos!K18,Datos!K18+Datos!AE18)," - ")</f>
        <v>83</v>
      </c>
      <c r="H18" s="403">
        <f>IF(ISNUMBER(G18/B18),G18/B18," - ")</f>
        <v>83</v>
      </c>
      <c r="I18" s="402">
        <f>IF(ISNUMBER(IF(D_I="SI",Datos!L18,Datos!L18+Datos!AF18)),IF(D_I="SI",Datos!L18,Datos!L18+Datos!AF18)," - ")</f>
        <v>335</v>
      </c>
      <c r="J18" s="403">
        <f>IF(ISNUMBER(I18/B18),I18/B18," - ")</f>
        <v>335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2240</v>
      </c>
      <c r="D19" s="847" t="str">
        <f>IF(ISNUMBER(C19/Datos!BI19),C19/Datos!BI19," - ")</f>
        <v xml:space="preserve"> - </v>
      </c>
      <c r="E19" s="846">
        <f>SUBTOTAL(9,E14:E18)</f>
        <v>1338</v>
      </c>
      <c r="F19" s="847">
        <f>IF(ISNUMBER(E19/B19),E19/B19," - ")</f>
        <v>446</v>
      </c>
      <c r="G19" s="846">
        <f>SUBTOTAL(9,G14:G18)</f>
        <v>1391</v>
      </c>
      <c r="H19" s="847">
        <f>IF(ISNUMBER(G19/B19),G19/B19," - ")</f>
        <v>463.66666666666669</v>
      </c>
      <c r="I19" s="846">
        <f>SUBTOTAL(9,I14:I18)</f>
        <v>2364</v>
      </c>
      <c r="J19" s="847">
        <f>IF(ISNUMBER(I19/B19),I19/B19," - ")</f>
        <v>788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9</v>
      </c>
      <c r="C20" s="791">
        <f>SUBTOTAL(9,C9:C19)</f>
        <v>4973</v>
      </c>
      <c r="D20" s="792" t="str">
        <f>IF(ISNUMBER(C20/Datos!BI20),C20/Datos!BI20," - ")</f>
        <v xml:space="preserve"> - </v>
      </c>
      <c r="E20" s="791">
        <f>SUBTOTAL(9,E9:E19)</f>
        <v>3347</v>
      </c>
      <c r="F20" s="792">
        <f>IF(ISNUMBER(E20/B20),E20/B20," - ")</f>
        <v>371.88888888888891</v>
      </c>
      <c r="G20" s="791">
        <f>SUBTOTAL(9,G9:G19)</f>
        <v>3507</v>
      </c>
      <c r="H20" s="792">
        <f>IF(ISNUMBER(G20/B20),G20/B20," - ")</f>
        <v>389.66666666666669</v>
      </c>
      <c r="I20" s="791">
        <f>SUBTOTAL(9,I9:I19)</f>
        <v>4985</v>
      </c>
      <c r="J20" s="792">
        <f>IF(ISNUMBER(I20/B20),I20/B20," - ")</f>
        <v>553.88888888888891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gwlrm+VFv+ro2sTlhA3hORHl4wNGSMHG47TTQpoV8OcJN9xg3MWqaqONnYF+2rlyFRajncQrDu+6A9Lsgbxa+Q==" saltValue="6ufbW1xQ4MUxy9UiM3uW6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LEON  Resumenes por Partidos Judiciales  PONFERRADA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6</v>
      </c>
      <c r="B9" s="500" t="s">
        <v>247</v>
      </c>
      <c r="C9" s="159" t="str">
        <f>Datos!A9</f>
        <v>Sección Civil del T.I</v>
      </c>
      <c r="D9" s="501"/>
      <c r="E9" s="679">
        <f>IF(ISNUMBER(Datos!AQ9),Datos!AQ9," - ")</f>
        <v>6</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43</v>
      </c>
      <c r="G10" s="681">
        <f>IF(ISNUMBER(Datos!I10),Datos!I10," - ")</f>
        <v>48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8</v>
      </c>
      <c r="AC10" s="680" t="str">
        <f>IF(ISNUMBER(IF(D_I="SI",DatosP!K18,DatosP!K18+DatosP!AE18)),IF(D_I="SI",DatosP!K18,DatosP!K18+DatosP!AE18)," - ")</f>
        <v xml:space="preserve"> - </v>
      </c>
      <c r="AD10" s="682"/>
      <c r="AE10" s="682"/>
      <c r="AF10" s="685">
        <f>IF(ISNUMBER(Datos!L10),Datos!L10,"-")</f>
        <v>62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23.25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1789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v>
      </c>
      <c r="AM12" s="687">
        <f>IF(ISNUMBER(Datos!N12+DatosP!N17),Datos!N12+DatosP!N17," - ")</f>
        <v>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-8.3148558758314849E-3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43</v>
      </c>
      <c r="G13" s="933">
        <f t="shared" si="0"/>
        <v>48</v>
      </c>
      <c r="H13" s="933">
        <f t="shared" si="0"/>
        <v>0</v>
      </c>
      <c r="I13" s="935">
        <f t="shared" si="0"/>
        <v>0</v>
      </c>
      <c r="J13" s="934">
        <f t="shared" si="0"/>
        <v>0</v>
      </c>
      <c r="K13" s="934">
        <f t="shared" si="0"/>
        <v>0</v>
      </c>
      <c r="L13" s="936">
        <f t="shared" si="0"/>
        <v>0</v>
      </c>
      <c r="M13" s="936">
        <f t="shared" si="0"/>
        <v>0</v>
      </c>
      <c r="N13" s="934">
        <f t="shared" si="0"/>
        <v>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8</v>
      </c>
      <c r="AC13" s="934">
        <f t="shared" si="1"/>
        <v>0</v>
      </c>
      <c r="AD13" s="934">
        <f t="shared" si="1"/>
        <v>15</v>
      </c>
      <c r="AE13" s="934">
        <f t="shared" si="1"/>
        <v>0</v>
      </c>
      <c r="AF13" s="934">
        <f t="shared" si="1"/>
        <v>62</v>
      </c>
      <c r="AG13" s="934">
        <f t="shared" si="1"/>
        <v>0</v>
      </c>
      <c r="AH13" s="934">
        <f t="shared" si="1"/>
        <v>1789</v>
      </c>
      <c r="AI13" s="934">
        <f t="shared" si="1"/>
        <v>0</v>
      </c>
      <c r="AJ13" s="934">
        <f t="shared" si="1"/>
        <v>0</v>
      </c>
      <c r="AK13" s="934">
        <f t="shared" si="1"/>
        <v>0</v>
      </c>
      <c r="AL13" s="934">
        <f t="shared" si="1"/>
        <v>1</v>
      </c>
      <c r="AM13" s="934">
        <f t="shared" si="1"/>
        <v>2</v>
      </c>
      <c r="AN13" s="934">
        <f t="shared" si="1"/>
        <v>0</v>
      </c>
      <c r="AO13" s="934">
        <f t="shared" si="1"/>
        <v>0</v>
      </c>
      <c r="AP13" s="939">
        <f>IF(ISNUMBER(((Datos!L13/Datos!K13)*11)/factor_trimestre),((Datos!L13/Datos!K13)*11)/factor_trimestre," - ")</f>
        <v>3.9774396642182581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-0.18604651162790697</v>
      </c>
      <c r="AU13" s="934" t="str">
        <f>IF(ISNUMBER((DatosP!#REF!-DatosP!#REF!+DatosP!#REF!)/(DatosP!#REF!+DatosP!#REF!-DatosP!#REF!-DatosP!#REF!)),(DatosP!#REF!-DatosP!#REF!+DatosP!#REF!)/(DatosP!#REF!+DatosP!#REF!-DatosP!#REF!-DatosP!#REF!)," - ")</f>
        <v xml:space="preserve"> - </v>
      </c>
      <c r="AV13" s="940">
        <f>SUBTOTAL(9,AV9:AV12)</f>
        <v>-8.3148558758314849E-3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3</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5.0984902947519775</v>
      </c>
      <c r="AQ19" s="939">
        <f>IF(ISNUMBER(((Datos!M19/Datos!L19)*11)/factor_trimestre),((Datos!M19/Datos!L19)*11)/factor_trimestre," - ")</f>
        <v>0.27664974619289334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7.7639751552795025E-2</v>
      </c>
      <c r="AW19" s="941">
        <f>IF(ISNUMBER((Datos!Q19-Datos!R19)/(Datos!S19-Datos!Q19+Datos!R19)),(Datos!Q19-Datos!R19)/(Datos!S19-Datos!Q19+Datos!R19)," - ")</f>
        <v>-0.1073734284743459</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43</v>
      </c>
      <c r="G20" s="946">
        <f t="shared" si="4"/>
        <v>48</v>
      </c>
      <c r="H20" s="946">
        <f t="shared" si="4"/>
        <v>0</v>
      </c>
      <c r="I20" s="947">
        <f t="shared" si="4"/>
        <v>0</v>
      </c>
      <c r="J20" s="948">
        <f t="shared" si="4"/>
        <v>0</v>
      </c>
      <c r="K20" s="948">
        <f t="shared" si="4"/>
        <v>0</v>
      </c>
      <c r="L20" s="948">
        <f t="shared" si="4"/>
        <v>0</v>
      </c>
      <c r="M20" s="948">
        <f t="shared" si="4"/>
        <v>0</v>
      </c>
      <c r="N20" s="947">
        <f t="shared" si="4"/>
        <v>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8</v>
      </c>
      <c r="AC20" s="952">
        <f t="shared" si="5"/>
        <v>0</v>
      </c>
      <c r="AD20" s="952">
        <f t="shared" si="5"/>
        <v>15</v>
      </c>
      <c r="AE20" s="952">
        <f t="shared" si="5"/>
        <v>0</v>
      </c>
      <c r="AF20" s="953">
        <f t="shared" si="5"/>
        <v>62</v>
      </c>
      <c r="AG20" s="953">
        <f t="shared" si="5"/>
        <v>0</v>
      </c>
      <c r="AH20" s="953">
        <f t="shared" si="5"/>
        <v>1789</v>
      </c>
      <c r="AI20" s="953">
        <f t="shared" si="5"/>
        <v>0</v>
      </c>
      <c r="AJ20" s="954">
        <f t="shared" si="5"/>
        <v>0</v>
      </c>
      <c r="AK20" s="954">
        <f t="shared" si="5"/>
        <v>0</v>
      </c>
      <c r="AL20" s="946">
        <f t="shared" si="5"/>
        <v>1</v>
      </c>
      <c r="AM20" s="946">
        <f t="shared" si="5"/>
        <v>2</v>
      </c>
      <c r="AN20" s="946">
        <f t="shared" si="5"/>
        <v>0</v>
      </c>
      <c r="AO20" s="946">
        <f t="shared" si="5"/>
        <v>0</v>
      </c>
      <c r="AP20" s="946">
        <f>IF(ISNUMBER(((Datos!L20/Datos!K20)*11)/factor_trimestre),((Datos!L20/Datos!K20)*11)/factor_trimestre," - ")</f>
        <v>4.4504094631483166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-0.18604651162790697</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2.3424006908462868E-2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3.0983866769659336</v>
      </c>
      <c r="F22" s="733">
        <f>IF(ISNUMBER(STDEV(F8:F19)),STDEV(F8:F19),"-")</f>
        <v>24.826061575153908</v>
      </c>
      <c r="G22" s="734">
        <f>IF(ISNUMBER(STDEV(G8:G19)),STDEV(G8:G19),"-")</f>
        <v>27.712812921102035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4.6188021535170067</v>
      </c>
      <c r="AC22" s="735">
        <f>IF(ISNUMBER(STDEV(AC8:AC19)),STDEV(AC8:AC19),"-")</f>
        <v>0</v>
      </c>
      <c r="AD22" s="738"/>
      <c r="AE22" s="738"/>
      <c r="AF22" s="738"/>
      <c r="AG22" s="738"/>
      <c r="AH22" s="738"/>
      <c r="AI22" s="738"/>
      <c r="AJ22" s="739">
        <f>IF(ISNUMBER(STDEV(AJ8:AJ19)),STDEV(AJ8:AJ19),"-")</f>
        <v>0</v>
      </c>
      <c r="AK22" s="741"/>
      <c r="AL22" s="733">
        <f>IF(ISNUMBER(STDEV(AL8:AL19)),STDEV(AL8:AL19),"-")</f>
        <v>0.57735026918962573</v>
      </c>
      <c r="AM22" s="733"/>
      <c r="AN22" s="733">
        <f>IF(ISNUMBER(STDEV(AN8:AN19)),STDEV(AN8:AN19),"-")</f>
        <v>0</v>
      </c>
      <c r="AO22" s="739">
        <f>IF(ISNUMBER(STDEV(AO8:AO19)),STDEV(AO8:AO19),"-")</f>
        <v>0</v>
      </c>
      <c r="AP22" s="776">
        <f>IF(ISNUMBER(STDEV(AP8:AP19)),STDEV(AP8:AP19),"-")</f>
        <v>8.8338753359915732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mnEfp6V+Y1myhNwIovfZQQsxONoGLwNIBQ4o/YEDLSVLJFOxFw2j8jgEkiAdKpm2gJLprUR25RxcqWwkKrRkMw==" saltValue="+NCTaVlRDbCd1SgYFQnq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LEON  Resumenes por Partidos Judiciales  PONFERRADA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6</v>
      </c>
      <c r="B9" s="500" t="s">
        <v>247</v>
      </c>
      <c r="C9" s="159" t="str">
        <f>Datos!A9</f>
        <v>Sección Civil del T.I</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181</v>
      </c>
      <c r="O9" s="333"/>
      <c r="P9" s="333"/>
      <c r="Q9" s="225">
        <f>IF(ISNUMBER(Datos!P9),Datos!P9,0)</f>
        <v>500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294</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94</v>
      </c>
      <c r="AI9" s="224" t="str">
        <f>IF(ISNUMBER(Datos!CD9),Datos!CD9,"-")</f>
        <v>-</v>
      </c>
      <c r="AJ9" s="1214" t="str">
        <f>IF(ISNUMBER(Datos!EN9),Datos!EN9," - ")</f>
        <v xml:space="preserve"> - </v>
      </c>
      <c r="AK9" s="333"/>
      <c r="AL9" s="478"/>
      <c r="AM9" s="1214">
        <f>IF(ISNUMBER(Datos!R9),Datos!R9," - ")</f>
        <v>7314</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725</v>
      </c>
      <c r="BD9" s="228">
        <f>IF(ISNUMBER(Datos!N9),Datos!N9," - ")</f>
        <v>678</v>
      </c>
      <c r="BE9" s="1214" t="str">
        <f>IF(ISNUMBER(Datos!BW9),Datos!BW9," - ")</f>
        <v xml:space="preserve"> - </v>
      </c>
      <c r="BF9" s="1214" t="str">
        <f>IF(ISNUMBER(Datos!BX9),Datos!BX9," - ")</f>
        <v xml:space="preserve"> - </v>
      </c>
      <c r="BG9" s="242">
        <f>IF(ISNUMBER(IF(J_V="SI",Datos!K9/Datos!J9,(Datos!K9+Datos!AA9)/(Datos!J9+Datos!Z9))),IF(J_V="SI",Datos!K9/Datos!J9,(Datos!K9+Datos!AA9)/(Datos!J9+Datos!Z9))," - ")</f>
        <v>1.0620898536092882</v>
      </c>
      <c r="BH9" s="1214">
        <f>IF(ISNUMBER(((IF(J_V="SI",Datos!L9/Datos!K9,(Datos!L9+Datos!AB9)/(Datos!K9+Datos!AA9)))*11)/factor_trimestre),((IF(J_V="SI",Datos!L9/Datos!K9,(Datos!L9+Datos!AB9)/(Datos!K9+Datos!AA9)))*11)/factor_trimestre," - ")</f>
        <v>3.6288022813688214</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2.8981429375351718E-2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443.42853990360004</v>
      </c>
      <c r="CF9" s="228">
        <f ca="1">AVERAGEIFS($AB:$AB,$BW:$BW,BW9,$BX:$BX,BX9)</f>
        <v>443.42853990360004</v>
      </c>
      <c r="CG9" s="1191">
        <v>0.7</v>
      </c>
      <c r="CH9" s="1191">
        <f ca="1">AVERAGEIF($BW:$BW,$BW9,$AC:$AC)</f>
        <v>85.25</v>
      </c>
      <c r="CI9" s="228">
        <f ca="1">AVERAGEIFS($AC:$AC,$BW:$BW,$BW9,$BX:$BX,$BX9)</f>
        <v>85.25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727.8</v>
      </c>
      <c r="CR9" s="228">
        <f ca="1">AVERAGEIFS($AF:$AF,$BW:$BW,BW9,$BX:$BX,BX9)</f>
        <v>727.8</v>
      </c>
      <c r="CS9" s="1191">
        <v>1.3</v>
      </c>
      <c r="CT9" s="1191">
        <v>1.5</v>
      </c>
      <c r="CU9" s="1191">
        <f ca="1">AVERAGEIF($BW:$BW,$BW9,$AH:$AH)</f>
        <v>35.25</v>
      </c>
      <c r="CV9" s="228">
        <f ca="1">AVERAGEIFS($AH:$AH,$BW:$BW,$BW9,$BX:$BX,$BX9)</f>
        <v>35.25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2370.25</v>
      </c>
      <c r="DH9" s="1218">
        <f ca="1">AVERAGEIFS($AM:$AM,$BW:$BW,$BW9,$BX:$BX,$BX9)</f>
        <v>2370.25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6.9478497183336749</v>
      </c>
      <c r="ER9" s="1218">
        <f ca="1">AVERAGEIFS($BH:$BH,$BW:$BW,$BW9,$BX:$BX,$BX9)</f>
        <v>6.9478497183336749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43</v>
      </c>
      <c r="G10" s="332">
        <f>IF(ISNUMBER(Datos!I10),Datos!I10," - ")</f>
        <v>48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8</v>
      </c>
      <c r="AC10" s="224">
        <f>IF(ISNUMBER(Datos!Q10),Datos!Q10," - ")</f>
        <v>1</v>
      </c>
      <c r="AD10" s="224"/>
      <c r="AE10" s="224"/>
      <c r="AF10" s="224">
        <f>IF(ISNUMBER(Datos!L10),Datos!L10,"-")</f>
        <v>62</v>
      </c>
      <c r="AG10" s="333"/>
      <c r="AH10" s="224"/>
      <c r="AI10" s="224"/>
      <c r="AJ10" s="1214"/>
      <c r="AK10" s="333"/>
      <c r="AL10" s="478"/>
      <c r="AM10" s="1214">
        <f>IF(ISNUMBER(Datos!R10),Datos!R10," - ")</f>
        <v>31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0.29629629629629628</v>
      </c>
      <c r="BH10" s="1214">
        <f>IF(ISNUMBER(((Datos!L10/Datos!K10)*11)/factor_trimestre),((Datos!L10/Datos!K10)*11)/factor_trimestre," - ")</f>
        <v>23.25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3.3333333333333333E-2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443.42853990360004</v>
      </c>
      <c r="CF10" s="228">
        <f ca="1">AVERAGEIFS($AB:$AB,$BW:$BW,BW10,$BX:$BX,BX10)</f>
        <v>443.42853990360004</v>
      </c>
      <c r="CG10" s="1191">
        <v>0.7</v>
      </c>
      <c r="CH10" s="1191">
        <f ca="1">AVERAGEIF($BW:$BW,BW10,$AC:$AC)</f>
        <v>85.25</v>
      </c>
      <c r="CI10" s="228">
        <f ca="1">AVERAGEIFS($AC:$AC,$BW:$BW,BW10,$BX:$BX,BX10)</f>
        <v>85.25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727.8</v>
      </c>
      <c r="CR10" s="228">
        <f ca="1">AVERAGEIFS($AF:$AF,$BW:$BW,BW10,$BX:$BX,BX10)</f>
        <v>727.8</v>
      </c>
      <c r="CS10" s="1191">
        <v>1.3</v>
      </c>
      <c r="CT10" s="1191">
        <v>1.5</v>
      </c>
      <c r="CU10" s="1191">
        <f ca="1">AVERAGEIF($BW:$BW,$BW10,$AH:$AH)</f>
        <v>35.25</v>
      </c>
      <c r="CV10" s="228">
        <f ca="1">AVERAGEIFS($AH:$AH,$BW:$BW,$BW10,$BX:$BX,$BX10)</f>
        <v>35.25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2370.25</v>
      </c>
      <c r="DH10" s="1218">
        <f ca="1">AVERAGEIFS($AM:$AM,$BW:$BW,$BW10,$BX:$BX,$BX10)</f>
        <v>2370.25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6.9478497183336749</v>
      </c>
      <c r="ER10" s="1218">
        <f ca="1">AVERAGEIFS($BH:$BH,$BW:$BW,$BW10,$BX:$BX,$BX10)</f>
        <v>6.9478497183336749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443.42853990360004</v>
      </c>
      <c r="CF11" s="228">
        <f ca="1">AVERAGEIFS($AB:$AB,$BW:$BW,BW11,$BX:$BX,BX11)</f>
        <v>443.42853990360004</v>
      </c>
      <c r="CG11" s="1191">
        <v>0.7</v>
      </c>
      <c r="CH11" s="1191">
        <f ca="1">AVERAGEIF($BW:$BW,BW11,$AC:$AC)</f>
        <v>85.25</v>
      </c>
      <c r="CI11" s="228">
        <f ca="1">AVERAGEIFS($AC:$AC,$BW:$BW,BW11,$BX:$BX,BX11)</f>
        <v>85.25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727.8</v>
      </c>
      <c r="CR11" s="228">
        <f ca="1">AVERAGEIFS($AF:$AF,$BW:$BW,BW11,$BX:$BX,BX11)</f>
        <v>727.8</v>
      </c>
      <c r="CS11" s="1191">
        <v>1.3</v>
      </c>
      <c r="CT11" s="1191">
        <v>1.5</v>
      </c>
      <c r="CU11" s="1191">
        <f ca="1">AVERAGEIF($BW:$BW,$BW11,$AH:$AH)</f>
        <v>35.25</v>
      </c>
      <c r="CV11" s="228">
        <f ca="1">AVERAGEIFS($AH:$AH,$BW:$BW,$BW11,$BX:$BX,$BX11)</f>
        <v>35.25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2370.25</v>
      </c>
      <c r="DH11" s="1218">
        <f ca="1">AVERAGEIFS($AM:$AM,$BW:$BW,$BW11,$BX:$BX,$BX11)</f>
        <v>2370.25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6.9478497183336749</v>
      </c>
      <c r="ER11" s="1218">
        <f ca="1">AVERAGEIFS($BH:$BH,$BW:$BW,$BW11,$BX:$BX,$BX11)</f>
        <v>6.9478497183336749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0</v>
      </c>
      <c r="AI12" s="224" t="str">
        <f>IF(ISNUMBER(Datos!CD12),Datos!CD12,"-")</f>
        <v>-</v>
      </c>
      <c r="AJ12" s="1214" t="str">
        <f>IF(ISNUMBER(Datos!EN12),Datos!EN12," - ")</f>
        <v xml:space="preserve"> - </v>
      </c>
      <c r="AK12" s="333"/>
      <c r="AL12" s="478"/>
      <c r="AM12" s="1214">
        <f>IF(ISNUMBER(Datos!R12),Datos!R12," - ")</f>
        <v>1789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v>
      </c>
      <c r="BD12" s="228">
        <f>IF(ISNUMBER(Datos!N12),Datos!N12," - ")</f>
        <v>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4</v>
      </c>
      <c r="BH12" s="1214">
        <f>IF(ISNUMBER(((IF(J_V="SI",Datos!L12/Datos!K12,(Datos!L12+Datos!AB12)/(Datos!K12+Datos!AA12)))*11)/factor_trimestre),((IF(J_V="SI",Datos!L12/Datos!K12,(Datos!L12+Datos!AB12)/(Datos!K12+Datos!AA12)))*11)/factor_trimestre," - ")</f>
        <v>10.5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-8.3148558758314849E-3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443.42853990360004</v>
      </c>
      <c r="CF12" s="228">
        <f ca="1">AVERAGEIFS($AB:$AB,$BW:$BW,BW12,$BX:$BX,BX12)</f>
        <v>443.42853990360004</v>
      </c>
      <c r="CG12" s="1191">
        <v>0.7</v>
      </c>
      <c r="CH12" s="1191">
        <f ca="1">AVERAGEIF($BW:$BW,BW12,$AC:$AC)</f>
        <v>85.25</v>
      </c>
      <c r="CI12" s="228">
        <f ca="1">AVERAGEIFS($AC:$AC,$BW:$BW,BW12,$BX:$BX,BX12)</f>
        <v>85.25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727.8</v>
      </c>
      <c r="CR12" s="228">
        <f ca="1">AVERAGEIFS($AF:$AF,$BW:$BW,BW12,$BX:$BX,BX12)</f>
        <v>727.8</v>
      </c>
      <c r="CS12" s="1191">
        <v>1.3</v>
      </c>
      <c r="CT12" s="1191">
        <v>1.5</v>
      </c>
      <c r="CU12" s="1191">
        <f ca="1">AVERAGEIF($BW:$BW,$BW12,$AH:$AH)</f>
        <v>35.25</v>
      </c>
      <c r="CV12" s="228">
        <f ca="1">AVERAGEIFS($AH:$AH,$BW:$BW,$BW12,$BX:$BX,$BX12)</f>
        <v>35.25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2370.25</v>
      </c>
      <c r="DH12" s="1218">
        <f ca="1">AVERAGEIFS($AM:$AM,$BW:$BW,$BW12,$BX:$BX,$BX12)</f>
        <v>2370.25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6.9478497183336749</v>
      </c>
      <c r="ER12" s="1218">
        <f ca="1">AVERAGEIFS($BH:$BH,$BW:$BW,$BW12,$BX:$BX,$BX12)</f>
        <v>6.9478497183336749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43</v>
      </c>
      <c r="G13" s="895">
        <f t="shared" si="1"/>
        <v>48</v>
      </c>
      <c r="H13" s="896">
        <f t="shared" si="1"/>
        <v>0</v>
      </c>
      <c r="I13" s="895">
        <f t="shared" si="1"/>
        <v>0</v>
      </c>
      <c r="J13" s="864">
        <f t="shared" si="1"/>
        <v>0</v>
      </c>
      <c r="K13" s="864">
        <f t="shared" si="1"/>
        <v>0</v>
      </c>
      <c r="L13" s="896">
        <f t="shared" si="1"/>
        <v>0</v>
      </c>
      <c r="M13" s="896">
        <f t="shared" si="1"/>
        <v>0</v>
      </c>
      <c r="N13" s="896">
        <f t="shared" si="1"/>
        <v>181</v>
      </c>
      <c r="O13" s="897">
        <f t="shared" si="1"/>
        <v>0</v>
      </c>
      <c r="P13" s="897">
        <f t="shared" si="1"/>
        <v>0</v>
      </c>
      <c r="Q13" s="896">
        <f t="shared" si="1"/>
        <v>502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8</v>
      </c>
      <c r="AC13" s="896">
        <f t="shared" si="2"/>
        <v>310</v>
      </c>
      <c r="AD13" s="896">
        <f t="shared" si="2"/>
        <v>0</v>
      </c>
      <c r="AE13" s="896">
        <f t="shared" si="2"/>
        <v>0</v>
      </c>
      <c r="AF13" s="896">
        <f t="shared" si="2"/>
        <v>62</v>
      </c>
      <c r="AG13" s="896">
        <f t="shared" si="2"/>
        <v>0</v>
      </c>
      <c r="AH13" s="896">
        <f t="shared" si="2"/>
        <v>94</v>
      </c>
      <c r="AI13" s="896">
        <f t="shared" si="2"/>
        <v>0</v>
      </c>
      <c r="AJ13" s="896">
        <f t="shared" si="2"/>
        <v>0</v>
      </c>
      <c r="AK13" s="896">
        <f t="shared" si="2"/>
        <v>0</v>
      </c>
      <c r="AL13" s="896">
        <f t="shared" si="2"/>
        <v>0</v>
      </c>
      <c r="AM13" s="896">
        <f t="shared" si="2"/>
        <v>9134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726</v>
      </c>
      <c r="BD13" s="896">
        <f t="shared" si="2"/>
        <v>680</v>
      </c>
      <c r="BE13" s="896">
        <f t="shared" si="2"/>
        <v>0</v>
      </c>
      <c r="BF13" s="896">
        <f t="shared" si="2"/>
        <v>0</v>
      </c>
      <c r="BG13" s="896">
        <f>IF(ISNUMBER(Datos!K13/Datos!J13),Datos!K13/Datos!J13," - ")</f>
        <v>1.0426695842450766</v>
      </c>
      <c r="BH13" s="900">
        <f>IF(ISNUMBER(((Datos!L13/Datos!K13)*11)/factor_trimestre),((Datos!L13/Datos!K13)*11)/factor_trimestre," - ")</f>
        <v>3.9774396642182581</v>
      </c>
      <c r="BI13" s="896">
        <f>IF(ISNUMBER('Resol  Asuntos'!D13/NºAsuntos!G13),'Resol  Asuntos'!D13/NºAsuntos!G13," - ")</f>
        <v>0.34310018903591682</v>
      </c>
      <c r="BJ13" s="896" t="str">
        <f>IF(ISNUMBER(Datos!CI13/Datos!CJ13),Datos!CI13/Datos!CJ13," - ")</f>
        <v xml:space="preserve"> - </v>
      </c>
      <c r="BK13" s="896">
        <f>SUBTOTAL(9,BK8:BK12)</f>
        <v>0</v>
      </c>
      <c r="BL13" s="896">
        <f>IF(ISNUMBER((I13-AB13+L13)/(F13)),(I13-AB13+L13)/(F13)," - ")</f>
        <v>-0.18604651162790697</v>
      </c>
      <c r="BM13" s="901">
        <f>SUBTOTAL(9,BM9:BM12)</f>
        <v>5.3999906832853564E-2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3</v>
      </c>
      <c r="B15" s="593" t="s">
        <v>397</v>
      </c>
      <c r="C15" s="598" t="str">
        <f>Datos!A15</f>
        <v xml:space="preserve">Seccion Instruccion Del T.I.                   </v>
      </c>
      <c r="D15" s="599"/>
      <c r="E15" s="1160">
        <f>IF(ISNUMBER(Datos!AQ15),Datos!AQ15," - ")</f>
        <v>3</v>
      </c>
      <c r="F15" s="594">
        <f>IF(ISNUMBER(AF15+AB15-Datos!J15-L15),AF15+AB15-Datos!J15-L15," - ")</f>
        <v>2019</v>
      </c>
      <c r="G15" s="596">
        <f>IF(ISNUMBER(IF(D_I="SI",Datos!I15,Datos!I15+Datos!AC15)),IF(D_I="SI",Datos!I15,Datos!I15+Datos!AC15)," - ")</f>
        <v>1846</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56</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1296</v>
      </c>
      <c r="AC15" s="224">
        <f>IF(ISNUMBER(Datos!Q15),Datos!Q15," - ")</f>
        <v>29</v>
      </c>
      <c r="AD15" s="224"/>
      <c r="AE15" s="224"/>
      <c r="AF15" s="224">
        <f>IF(ISNUMBER(IF(D_I="SI",Datos!L15,Datos!L15+Datos!AF15)),IF(D_I="SI",Datos!L15,Datos!L15+Datos!AF15)," - ")</f>
        <v>1966</v>
      </c>
      <c r="AG15" s="333"/>
      <c r="AH15" s="224"/>
      <c r="AI15" s="224"/>
      <c r="AJ15" s="1214"/>
      <c r="AK15" s="333"/>
      <c r="AL15" s="478"/>
      <c r="AM15" s="1214">
        <f>IF(ISNUMBER(Datos!R15),Datos!R15," - ")</f>
        <v>344</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216</v>
      </c>
      <c r="BD15" s="228">
        <f>IF(ISNUMBER(Datos!N15),Datos!N15," - ")</f>
        <v>785</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1.0426387771520516</v>
      </c>
      <c r="BH15" s="1214">
        <f>IF(ISNUMBER(((IF(D_I="SI",Datos!L15/Datos!K15,(Datos!L15+Datos!AF15)/(Datos!K15+Datos!AE15)))*11)/factor_trimestre),((IF(D_I="SI",Datos!L15/Datos!K15,(Datos!L15+Datos!AF15)/(Datos!K15+Datos!AE15)))*11)/factor_trimestre," - ")</f>
        <v>4.5509259259259256</v>
      </c>
      <c r="BI15" s="242">
        <f>IF(ISNUMBER('Resol  Asuntos'!D15/NºAsuntos!G15),'Resol  Asuntos'!D15/NºAsuntos!G15," - ")</f>
        <v>0.16666666666666666</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443.42853990360004</v>
      </c>
      <c r="CF15" s="228">
        <f ca="1">AVERAGEIFS($AB:$AB,$BW:$BW,BW15,$BX:$BX,BX15)</f>
        <v>443.42853990360004</v>
      </c>
      <c r="CG15" s="1191">
        <v>0.7</v>
      </c>
      <c r="CH15" s="1191">
        <f ca="1">AVERAGEIF($BW:$BW,BW15,$AC:$AC)</f>
        <v>85.25</v>
      </c>
      <c r="CI15" s="228">
        <f ca="1">AVERAGEIFS($AC:$AC,$BW:$BW,BW15,$BX:$BX,BX15)</f>
        <v>85.25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727.8</v>
      </c>
      <c r="CR15" s="228">
        <f ca="1">AVERAGEIFS($AF:$AF,$BW:$BW,BW15,$BX:$BX,BX15)</f>
        <v>727.8</v>
      </c>
      <c r="CS15" s="1191">
        <v>1.3</v>
      </c>
      <c r="CT15" s="1191">
        <v>1.5</v>
      </c>
      <c r="CU15" s="1191">
        <f ca="1">AVERAGEIF($BW:$BW,$BW15,$AH:$AH)</f>
        <v>35.25</v>
      </c>
      <c r="CV15" s="228">
        <f ca="1">AVERAGEIFS($AH:$AH,$BW:$BW,$BW15,$BX:$BX,$BX15)</f>
        <v>35.25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2370.25</v>
      </c>
      <c r="DH15" s="1218">
        <f ca="1">AVERAGEIFS($AM:$AM,$BW:$BW,$BW15,$BX:$BX,$BX15)</f>
        <v>2370.25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6.9478497183336749</v>
      </c>
      <c r="ER15" s="1218">
        <f ca="1">AVERAGEIFS($BH:$BH,$BW:$BW,$BW15,$BX:$BX,$BX15)</f>
        <v>6.9478497183336749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443.42853990360004</v>
      </c>
      <c r="CF16" s="1218">
        <f ca="1">AVERAGEIFS($AB:$AB,$BW:$BW,BW16,$BX:$BX,BX16)</f>
        <v>443.42853990360004</v>
      </c>
      <c r="CG16" s="1191">
        <v>0.7</v>
      </c>
      <c r="CH16" s="1191">
        <f ca="1">AVERAGEIF($BW:$BW,BW16,$AC:$AC)</f>
        <v>85.25</v>
      </c>
      <c r="CI16" s="1218">
        <f ca="1">AVERAGEIFS($AC:$AC,$BW:$BW,BW16,$BX:$BX,BX16)</f>
        <v>85.25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727.8</v>
      </c>
      <c r="CR16" s="1218">
        <f ca="1">AVERAGEIFS($AF:$AF,$BW:$BW,BW16,$BX:$BX,BX16)</f>
        <v>727.8</v>
      </c>
      <c r="CS16" s="1191">
        <v>1.3</v>
      </c>
      <c r="CT16" s="1191">
        <v>1.5</v>
      </c>
      <c r="CU16" s="1191">
        <f ca="1">AVERAGEIF($BW:$BW,$BW16,$AH:$AH)</f>
        <v>35.25</v>
      </c>
      <c r="CV16" s="1218">
        <f ca="1">AVERAGEIFS($AH:$AH,$BW:$BW,$BW16,$BX:$BX,$BX16)</f>
        <v>35.25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2370.25</v>
      </c>
      <c r="DH16" s="1218">
        <f ca="1">AVERAGEIFS($AM:$AM,$BW:$BW,$BW16,$BX:$BX,$BX16)</f>
        <v>2370.25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6.9478497183336749</v>
      </c>
      <c r="ER16" s="1218">
        <f ca="1">AVERAGEIFS($BH:$BH,$BW:$BW,$BW16,$BX:$BX,$BX16)</f>
        <v>6.9478497183336749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f>IF(ISNUMBER(AF17+AB17-Datos!J17-L17),AF17+AB17-Datos!J17-L17," - ")</f>
        <v>71</v>
      </c>
      <c r="G17" s="596">
        <f>IF(ISNUMBER(IF(D_I="SI",Datos!I17,Datos!I17+Datos!AC17)),IF(D_I="SI",Datos!I17,Datos!I17+Datos!AC17)," - ")</f>
        <v>77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12</v>
      </c>
      <c r="AC17" s="224">
        <f>IF(ISNUMBER(Datos!Q17),Datos!Q17," - ")</f>
        <v>0</v>
      </c>
      <c r="AD17" s="224"/>
      <c r="AE17" s="224"/>
      <c r="AF17" s="224">
        <f>IF(ISNUMBER(IF(D_I="SI",Datos!L17,Datos!L17+Datos!AF17)),IF(D_I="SI",Datos!L17,Datos!L17+Datos!AF17)," - ")</f>
        <v>63</v>
      </c>
      <c r="AG17" s="333"/>
      <c r="AH17" s="224"/>
      <c r="AI17" s="224"/>
      <c r="AJ17" s="1214"/>
      <c r="AK17" s="333"/>
      <c r="AL17" s="478"/>
      <c r="AM17" s="1214">
        <f>IF(ISNUMBER(Datos!R17),Datos!R17," - ")</f>
        <v>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0</v>
      </c>
      <c r="BD17" s="228">
        <f>IF(ISNUMBER(Datos!N17),Datos!N17," - ")</f>
        <v>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3</v>
      </c>
      <c r="BH17" s="1214">
        <f>IF(ISNUMBER(((IF(D_I="SI",Datos!L17/Datos!K17,(Datos!L17+Datos!AF17)/(Datos!K17+Datos!AE17)))*11)/factor_trimestre),((IF(D_I="SI",Datos!L17/Datos!K17,(Datos!L17+Datos!AF17)/(Datos!K17+Datos!AE17)))*11)/factor_trimestre," - ")</f>
        <v>15.75</v>
      </c>
      <c r="BI17" s="242">
        <f>IF(ISNUMBER('Resol  Asuntos'!D17/NºAsuntos!G17),'Resol  Asuntos'!D17/NºAsuntos!G17," - ")</f>
        <v>0</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443.42853990360004</v>
      </c>
      <c r="CF17" s="228">
        <f ca="1">AVERAGEIFS($AB:$AB,$BW:$BW,BW17,$BX:$BX,BX17)</f>
        <v>443.42853990360004</v>
      </c>
      <c r="CG17" s="1191">
        <v>0.7</v>
      </c>
      <c r="CH17" s="1191">
        <f ca="1">AVERAGEIF($BW:$BW,BW17,$AC:$AC)</f>
        <v>85.25</v>
      </c>
      <c r="CI17" s="228">
        <f ca="1">AVERAGEIFS($AC:$AC,$BW:$BW,BW17,$BX:$BX,BX17)</f>
        <v>85.25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727.8</v>
      </c>
      <c r="CR17" s="228">
        <f ca="1">AVERAGEIFS($AF:$AF,$BW:$BW,BW17,$BX:$BX,BX17)</f>
        <v>727.8</v>
      </c>
      <c r="CS17" s="1191">
        <v>1.3</v>
      </c>
      <c r="CT17" s="1191">
        <v>1.5</v>
      </c>
      <c r="CU17" s="1191">
        <f ca="1">AVERAGEIF($BW:$BW,$BW17,$AH:$AH)</f>
        <v>35.25</v>
      </c>
      <c r="CV17" s="228">
        <f ca="1">AVERAGEIFS($AH:$AH,$BW:$BW,$BW17,$BX:$BX,$BX17)</f>
        <v>35.25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2370.25</v>
      </c>
      <c r="DH17" s="1218">
        <f ca="1">AVERAGEIFS($AM:$AM,$BW:$BW,$BW17,$BX:$BX,$BX17)</f>
        <v>2370.25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6.9478497183336749</v>
      </c>
      <c r="ER17" s="1218">
        <f ca="1">AVERAGEIFS($BH:$BH,$BW:$BW,$BW17,$BX:$BX,$BX17)</f>
        <v>6.9478497183336749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317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83</v>
      </c>
      <c r="AC18" s="224">
        <f>IF(ISNUMBER(Datos!Q18),Datos!Q18," - ")</f>
        <v>2</v>
      </c>
      <c r="AD18" s="224"/>
      <c r="AE18" s="224"/>
      <c r="AF18" s="224">
        <f>IF(ISNUMBER(Datos!L18),Datos!L18,"-")</f>
        <v>335</v>
      </c>
      <c r="AG18" s="333"/>
      <c r="AH18" s="224"/>
      <c r="AI18" s="224"/>
      <c r="AJ18" s="1214"/>
      <c r="AK18" s="333"/>
      <c r="AL18" s="478"/>
      <c r="AM18" s="1214">
        <f>IF(ISNUMBER(Datos!R18),Datos!R18," - ")</f>
        <v>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47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0.91208791208791207</v>
      </c>
      <c r="BH18" s="1214">
        <f>IF(ISNUMBER(((IF(D_I="SI",Datos!L18/Datos!K18,(Datos!L18+Datos!AF18)/(Datos!K18+Datos!AE18)))*11)/factor_trimestre),((IF(D_I="SI",Datos!L18/Datos!K18,(Datos!L18+Datos!AF18)/(Datos!K18+Datos!AE18)))*11)/factor_trimestre," - ")</f>
        <v>12.108433734939759</v>
      </c>
      <c r="BI18" s="242">
        <f>IF(ISNUMBER('Resol  Asuntos'!D18/NºAsuntos!G18),'Resol  Asuntos'!D18/NºAsuntos!G18," - ")</f>
        <v>2.4096385542168676E-2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443.42853990360004</v>
      </c>
      <c r="CF18" s="228">
        <f ca="1">AVERAGEIFS($AB:$AB,$BW:$BW,BW18,$BX:$BX,BX18)</f>
        <v>443.42853990360004</v>
      </c>
      <c r="CG18" s="1191">
        <v>0.7</v>
      </c>
      <c r="CH18" s="1191">
        <f ca="1">AVERAGEIF($BW:$BW,BW18,$AC:$AC)</f>
        <v>85.25</v>
      </c>
      <c r="CI18" s="228">
        <f ca="1">AVERAGEIFS($AC:$AC,$BW:$BW,BW18,$BX:$BX,BX18)</f>
        <v>85.25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727.8</v>
      </c>
      <c r="CR18" s="228">
        <f ca="1">AVERAGEIFS($AF:$AF,$BW:$BW,BW18,$BX:$BX,BX18)</f>
        <v>727.8</v>
      </c>
      <c r="CS18" s="1191">
        <v>1.3</v>
      </c>
      <c r="CT18" s="1191">
        <v>1.5</v>
      </c>
      <c r="CU18" s="1191">
        <f ca="1">AVERAGEIF($BW:$BW,$BW18,$AH:$AH)</f>
        <v>35.25</v>
      </c>
      <c r="CV18" s="228">
        <f ca="1">AVERAGEIFS($AH:$AH,$BW:$BW,$BW18,$BX:$BX,$BX18)</f>
        <v>35.25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2370.25</v>
      </c>
      <c r="DH18" s="1218">
        <f ca="1">AVERAGEIFS($AM:$AM,$BW:$BW,$BW18,$BX:$BX,$BX18)</f>
        <v>2370.25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6.9478497183336749</v>
      </c>
      <c r="ER18" s="1218">
        <f ca="1">AVERAGEIFS($BH:$BH,$BW:$BW,$BW18,$BX:$BX,$BX18)</f>
        <v>6.9478497183336749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2090</v>
      </c>
      <c r="G19" s="895">
        <f>SUBTOTAL(9,G15:G18)</f>
        <v>2240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1391</v>
      </c>
      <c r="AC19" s="896">
        <f t="shared" si="5"/>
        <v>31</v>
      </c>
      <c r="AD19" s="896">
        <f t="shared" si="5"/>
        <v>0</v>
      </c>
      <c r="AE19" s="896">
        <f t="shared" si="5"/>
        <v>0</v>
      </c>
      <c r="AF19" s="896">
        <f t="shared" si="5"/>
        <v>2364</v>
      </c>
      <c r="AG19" s="896">
        <f t="shared" si="5"/>
        <v>0</v>
      </c>
      <c r="AH19" s="896">
        <f t="shared" si="5"/>
        <v>0</v>
      </c>
      <c r="AI19" s="896">
        <f t="shared" si="5"/>
        <v>0</v>
      </c>
      <c r="AJ19" s="896">
        <f t="shared" si="5"/>
        <v>0</v>
      </c>
      <c r="AK19" s="896">
        <f t="shared" si="5"/>
        <v>0</v>
      </c>
      <c r="AL19" s="896">
        <f t="shared" si="5"/>
        <v>0</v>
      </c>
      <c r="AM19" s="896">
        <f t="shared" si="5"/>
        <v>347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218</v>
      </c>
      <c r="BD19" s="896">
        <f t="shared" si="5"/>
        <v>834</v>
      </c>
      <c r="BE19" s="896">
        <f t="shared" si="5"/>
        <v>0</v>
      </c>
      <c r="BF19" s="896">
        <f t="shared" si="5"/>
        <v>0</v>
      </c>
      <c r="BG19" s="896">
        <f>IF(ISNUMBER(Datos!K19/Datos!J19),Datos!K19/Datos!J19," - ")</f>
        <v>1.039611360239163</v>
      </c>
      <c r="BH19" s="900">
        <f>IF(ISNUMBER(((Datos!L19/Datos!K19)*11)/factor_trimestre),((Datos!L19/Datos!K19)*11)/factor_trimestre," - ")</f>
        <v>5.0984902947519775</v>
      </c>
      <c r="BI19" s="896">
        <f>SUBTOTAL(9,BI15:BI18)</f>
        <v>0.19076305220883533</v>
      </c>
      <c r="BJ19" s="896">
        <f>SUBTOTAL(9,BJ15:BJ18)</f>
        <v>0</v>
      </c>
      <c r="BK19" s="896">
        <f>SUBTOTAL(9,BK15:BK18)</f>
        <v>0</v>
      </c>
      <c r="BL19" s="896">
        <f>IF(ISNUMBER((I19-AB19+L19)/(F19)),(I19-AB19+L19)/(F19)," - ")</f>
        <v>-0.66555023923444978</v>
      </c>
      <c r="BM19" s="902">
        <f>IF(ISNUMBER((Datos!P19-Datos!Q19)/(Datos!R19-Datos!P19+Datos!Q19)),(Datos!P19-Datos!Q19)/(Datos!R19-Datos!P19+Datos!Q19)," - ")</f>
        <v>7.7639751552795025E-2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9</v>
      </c>
      <c r="F20" s="817">
        <f t="shared" si="7"/>
        <v>2133</v>
      </c>
      <c r="G20" s="817">
        <f t="shared" si="7"/>
        <v>2288</v>
      </c>
      <c r="H20" s="819">
        <f t="shared" si="7"/>
        <v>0</v>
      </c>
      <c r="I20" s="817">
        <f t="shared" si="7"/>
        <v>0</v>
      </c>
      <c r="J20" s="819">
        <f t="shared" si="7"/>
        <v>0</v>
      </c>
      <c r="K20" s="819">
        <f t="shared" si="7"/>
        <v>0</v>
      </c>
      <c r="L20" s="878">
        <f t="shared" si="7"/>
        <v>0</v>
      </c>
      <c r="M20" s="878">
        <f t="shared" si="7"/>
        <v>0</v>
      </c>
      <c r="N20" s="878">
        <f t="shared" si="7"/>
        <v>181</v>
      </c>
      <c r="O20" s="878">
        <f t="shared" si="7"/>
        <v>0</v>
      </c>
      <c r="P20" s="878">
        <f t="shared" si="7"/>
        <v>0</v>
      </c>
      <c r="Q20" s="819">
        <f t="shared" si="7"/>
        <v>558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1399</v>
      </c>
      <c r="AC20" s="818">
        <f t="shared" si="8"/>
        <v>341</v>
      </c>
      <c r="AD20" s="818">
        <f t="shared" si="8"/>
        <v>0</v>
      </c>
      <c r="AE20" s="818">
        <f t="shared" si="8"/>
        <v>0</v>
      </c>
      <c r="AF20" s="825">
        <f t="shared" si="8"/>
        <v>2426</v>
      </c>
      <c r="AG20" s="825">
        <f t="shared" si="8"/>
        <v>0</v>
      </c>
      <c r="AH20" s="825">
        <f t="shared" si="8"/>
        <v>94</v>
      </c>
      <c r="AI20" s="825">
        <f t="shared" si="8"/>
        <v>0</v>
      </c>
      <c r="AJ20" s="818">
        <f t="shared" si="8"/>
        <v>0</v>
      </c>
      <c r="AK20" s="825">
        <f t="shared" si="8"/>
        <v>0</v>
      </c>
      <c r="AL20" s="825">
        <f t="shared" si="8"/>
        <v>0</v>
      </c>
      <c r="AM20" s="825">
        <f t="shared" si="8"/>
        <v>9481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944</v>
      </c>
      <c r="BD20" s="817">
        <f t="shared" si="8"/>
        <v>1514</v>
      </c>
      <c r="BE20" s="817">
        <f t="shared" si="8"/>
        <v>0</v>
      </c>
      <c r="BF20" s="827">
        <f t="shared" si="8"/>
        <v>0</v>
      </c>
      <c r="BG20" s="912">
        <f>IF(ISNUMBER(Datos!K20/Datos!J20),Datos!K20/Datos!J20," - ")</f>
        <v>1.0413771320277954</v>
      </c>
      <c r="BH20" s="912">
        <f>IF(ISNUMBER(((Datos!L20/Datos!K20)*11)/factor_trimestre),((Datos!L20/Datos!K20)*11)/factor_trimestre," - ")</f>
        <v>4.4504094631483166</v>
      </c>
      <c r="BI20" s="810">
        <f>IF(ISNUMBER(Datos!J20/Datos!I20),Datos!J20/Datos!I20," - ")</f>
        <v>0.65278350515463912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-0.65588373183309889</v>
      </c>
      <c r="BM20" s="886">
        <f>IF(ISNUMBER((Datos!P20-Datos!Q20+R20)/(Datos!R20-Datos!P20+Datos!Q20-R20)),(Datos!P20-Datos!Q20+R20)/(Datos!R20-Datos!P20+Datos!Q20-R20)," - ")</f>
        <v>2.3424006908462868E-2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762.66666666666663</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2.5298221281347035</v>
      </c>
      <c r="F22" s="550">
        <f>IF(ISNUMBER(STDEV(F8:F19)),STDEV(F8:F19),"-")</f>
        <v>1096.9786688901474</v>
      </c>
      <c r="G22" s="551">
        <f>IF(ISNUMBER(STDEV(G8:G19)),STDEV(G8:G19),"-")</f>
        <v>1004.6272277151694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680.71393893960078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316.52533186821825</v>
      </c>
      <c r="BD22" s="550"/>
      <c r="BE22" s="550">
        <f>IF(ISNUMBER(STDEV(BE8:BE19)),STDEV(BE8:BE19),"-")</f>
        <v>0</v>
      </c>
      <c r="BF22" s="555">
        <f>IF(ISNUMBER(STDEV(BF8:BF19)),STDEV(BF8:BF19),"-")</f>
        <v>0</v>
      </c>
      <c r="BG22" s="772">
        <f>IF(ISNUMBER(STDEV(BG8:BG19)),STDEV(BG8:BG19),"-")</f>
        <v>1.2590843947759833</v>
      </c>
      <c r="BH22" s="773">
        <f>IF(ISNUMBER(STDEV(BH8:BH19)),STDEV(BH8:BH19),"-")</f>
        <v>7.0075449739847011</v>
      </c>
      <c r="BI22" s="248">
        <f>IF(ISNUMBER(STDEV(BI8:BI19)),STDEV(BI8:BI19),"-")</f>
        <v>0.1391492385405238</v>
      </c>
      <c r="BJ22" s="1415" t="str">
        <f>IF(ISNUMBER(BL22/BM22),BL22/BM22," - ")</f>
        <v xml:space="preserve"> - </v>
      </c>
      <c r="BK22" s="574"/>
      <c r="BL22" s="558">
        <f>IF(ISNUMBER(STDEV(BL8:BL19)),STDEV(BL8:BL19),"-")</f>
        <v>0.3390603373948135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YBgX/CTApyB4WoBlBrTZJKcnx1aY5Md2iJUoIoywWkoA9GBuKMdl07UQA2fjNjBnXFKxDK6esTrma+MGjWyB+w==" saltValue="Aui49/eomUkLq0Mfri4j3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LEON  Resumenes por Partidos Judiciales  PONFERRADA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0.34310018903591682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0.24260847029368313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nDqnKmHPZ/dYLzWAejhcE84d556iJWxWR0S7QA/ASy0dzmhT3L/gIGy9p8n9wS188szOEfsYU9GmyTg4epohTw==" saltValue="82hGKoc8ffN7MNp1LV2Zn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LEON</v>
      </c>
      <c r="C4" s="1461" t="str">
        <f>IF(Criterios!B11=0,"",Criterios!B11)</f>
        <v>PONFERRADA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c/uNg4+pRLplPQaGzW6ygZiISjsTRNNVWBxKtfojuou/Rt2O20UXQ5nyA+LsuEyutxv+MxhM4XAFHsnwHhMhZw==" saltValue="Guo5hSvnmKb0qrFwQIkXq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LEON</v>
      </c>
      <c r="C3" s="414"/>
      <c r="F3" s="374"/>
      <c r="G3" s="374"/>
      <c r="H3" s="374"/>
    </row>
    <row r="4" spans="1:16" ht="13.5" thickBot="1">
      <c r="A4" s="374"/>
      <c r="B4" s="390" t="str">
        <f>Criterios!A11 &amp;"  "&amp;Criterios!B11</f>
        <v>Resumenes por Partidos Judiciales  PONFERRADA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KS+HSUSyIhjdco69RsTMZa21IP5OE77f+K9wRMpOya5DPN4GcLOrrdXJu0jXWACj6Jxqfj/vW2zSuchGL0Skw==" saltValue="1ALWxrqXf7e9GRjIooPGI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LEON</v>
      </c>
      <c r="C3" s="390"/>
      <c r="D3" s="424"/>
      <c r="BZ3" s="470"/>
    </row>
    <row r="4" spans="1:78" ht="13.5" thickBot="1">
      <c r="B4" s="390" t="str">
        <f>Criterios!A11 &amp;"  "&amp;Criterios!B11</f>
        <v>Resumenes por Partidos Judiciales  PONFERRADA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6</v>
      </c>
      <c r="C9" s="409">
        <f>Datos!AQ9</f>
        <v>6</v>
      </c>
      <c r="D9" s="402">
        <f>IF(ISNUMBER(Datos!M9),Datos!M9," - ")</f>
        <v>725</v>
      </c>
      <c r="E9" s="403">
        <f t="shared" ref="E9:E13" si="0">IF(ISNUMBER(D9/B9),D9/B9," - ")</f>
        <v>120.83333333333333</v>
      </c>
      <c r="F9" s="402">
        <f>IF(ISNUMBER(Datos!N9),Datos!N9," - ")</f>
        <v>678</v>
      </c>
      <c r="G9" s="403">
        <f t="shared" ref="G9:G13" si="1">IF(ISNUMBER(F9/B9),F9/B9," - ")</f>
        <v>113</v>
      </c>
      <c r="H9" s="402">
        <f>IF(ISNUMBER(Datos!O9),Datos!O9," - ")</f>
        <v>802</v>
      </c>
      <c r="I9" s="403">
        <f>IF(ISNUMBER(H9/B9),H9/B9," - ")</f>
        <v>133.66666666666666</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0</v>
      </c>
      <c r="C12" s="409">
        <f>Datos!AQ12</f>
        <v>0</v>
      </c>
      <c r="D12" s="402">
        <f>IF(ISNUMBER(Datos!M12),Datos!M12," - ")</f>
        <v>1</v>
      </c>
      <c r="E12" s="403" t="str">
        <f t="shared" si="0"/>
        <v xml:space="preserve"> - </v>
      </c>
      <c r="F12" s="402">
        <f>IF(ISNUMBER(Datos!N12),Datos!N12," - ")</f>
        <v>2</v>
      </c>
      <c r="G12" s="403" t="str">
        <f t="shared" si="1"/>
        <v xml:space="preserve"> - </v>
      </c>
      <c r="H12" s="402">
        <f>IF(ISNUMBER(Datos!O12),Datos!O12," - ")</f>
        <v>16</v>
      </c>
      <c r="I12" s="403" t="str">
        <f t="shared" si="2"/>
        <v xml:space="preserve"> - </v>
      </c>
      <c r="BZ12" s="1181">
        <f>Datos!EZ12</f>
        <v>0</v>
      </c>
    </row>
    <row r="13" spans="1:78" ht="14.25" thickTop="1" thickBot="1">
      <c r="A13" s="845" t="str">
        <f>Datos!A13</f>
        <v>TOTAL</v>
      </c>
      <c r="B13" s="846">
        <f>Datos!AP13</f>
        <v>6</v>
      </c>
      <c r="C13" s="848">
        <f>Datos!AR13</f>
        <v>6</v>
      </c>
      <c r="D13" s="846">
        <f>SUBTOTAL(9,D9:D12)</f>
        <v>726</v>
      </c>
      <c r="E13" s="847">
        <f t="shared" si="0"/>
        <v>121</v>
      </c>
      <c r="F13" s="846">
        <f>SUBTOTAL(9,F9:F12)</f>
        <v>680</v>
      </c>
      <c r="G13" s="847">
        <f t="shared" si="1"/>
        <v>113.33333333333333</v>
      </c>
      <c r="H13" s="846">
        <f>SUBTOTAL(9,H9:H12)</f>
        <v>818</v>
      </c>
      <c r="I13" s="847">
        <f>IF(ISNUMBER(H13/B13),H13/B13," - ")</f>
        <v>136.33333333333334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3</v>
      </c>
      <c r="C15" s="427">
        <f>Datos!AQ15</f>
        <v>3</v>
      </c>
      <c r="D15" s="402">
        <f>IF(ISNUMBER(Datos!M15),Datos!M15," - ")</f>
        <v>216</v>
      </c>
      <c r="E15" s="403">
        <f t="shared" ref="E15:E19" si="3">IF(ISNUMBER(D15/B15),D15/B15," - ")</f>
        <v>72</v>
      </c>
      <c r="F15" s="402">
        <f>IF(ISNUMBER(Datos!N15),Datos!N15," - ")</f>
        <v>785</v>
      </c>
      <c r="G15" s="403">
        <f t="shared" ref="G15:G19" si="4">IF(ISNUMBER(F15/B15),F15/B15," - ")</f>
        <v>261.66666666666669</v>
      </c>
      <c r="H15" s="402">
        <f>IF(ISNUMBER(Datos!O15),Datos!O15," - ")</f>
        <v>26</v>
      </c>
      <c r="I15" s="403">
        <f t="shared" ref="I15:I18" si="5">IF(ISNUMBER(H15/B15),H15/B15," - ")</f>
        <v>8.6666666666666661</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f>IF(ISNUMBER(Datos!M17),Datos!M17," - ")</f>
        <v>0</v>
      </c>
      <c r="E17" s="403" t="str">
        <f t="shared" si="3"/>
        <v xml:space="preserve"> - </v>
      </c>
      <c r="F17" s="402">
        <f>IF(ISNUMBER(Datos!N17),Datos!N17," - ")</f>
        <v>2</v>
      </c>
      <c r="G17" s="403" t="str">
        <f t="shared" si="4"/>
        <v xml:space="preserve"> - </v>
      </c>
      <c r="H17" s="402">
        <f>IF(ISNUMBER(Datos!O17),Datos!O17," - ")</f>
        <v>0</v>
      </c>
      <c r="I17" s="403" t="str">
        <f t="shared" si="5"/>
        <v xml:space="preserve"> - </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47</v>
      </c>
      <c r="G18" s="403">
        <f>IF(ISNUMBER(F18/B18),F18/B18," - ")</f>
        <v>47</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218</v>
      </c>
      <c r="E19" s="847">
        <f t="shared" si="3"/>
        <v>72.666666666666671</v>
      </c>
      <c r="F19" s="846">
        <f>SUBTOTAL(9,F15:F18)</f>
        <v>834</v>
      </c>
      <c r="G19" s="847">
        <f t="shared" si="4"/>
        <v>278</v>
      </c>
      <c r="H19" s="846">
        <f>SUBTOTAL(9,H15:H18)</f>
        <v>26</v>
      </c>
      <c r="I19" s="847">
        <f>IF(ISNUMBER(H19/B19),H19/B19," - ")</f>
        <v>8.6666666666666661</v>
      </c>
      <c r="BZ19" s="1181"/>
    </row>
    <row r="20" spans="1:78" ht="14.25" thickTop="1" thickBot="1">
      <c r="A20" s="790" t="str">
        <f>Datos!A20</f>
        <v>TOTAL JURISDICCIONES</v>
      </c>
      <c r="B20" s="791">
        <f>Datos!AP20</f>
        <v>9</v>
      </c>
      <c r="C20" s="791">
        <f>Datos!AR20</f>
        <v>9</v>
      </c>
      <c r="D20" s="791">
        <f>SUBTOTAL(9,D8:D19)</f>
        <v>944</v>
      </c>
      <c r="E20" s="792">
        <f>IF(ISNUMBER(D20/B20),D20/B20," - ")</f>
        <v>104.88888888888889</v>
      </c>
      <c r="F20" s="791">
        <f>SUBTOTAL(9,F8:F19)</f>
        <v>1514</v>
      </c>
      <c r="G20" s="792">
        <f>IF(ISNUMBER(F20/B20),F20/B20," - ")</f>
        <v>168.22222222222223</v>
      </c>
      <c r="H20" s="791">
        <f>SUBTOTAL(9,H8:H19)</f>
        <v>844</v>
      </c>
      <c r="I20" s="792">
        <f>IF(ISNUMBER(H20/B20),H20/B20," - ")</f>
        <v>93.777777777777771</v>
      </c>
    </row>
    <row r="23" spans="1:78">
      <c r="A23" s="390" t="str">
        <f>Criterios!A4</f>
        <v>Fecha Informe: 18 jun. 2026</v>
      </c>
    </row>
    <row r="28" spans="1:78">
      <c r="A28" s="413"/>
    </row>
  </sheetData>
  <sheetProtection algorithmName="SHA-512" hashValue="EXapy+FO7EZIiYKQJdVYNxJanhdXPmxQ+QF4l/+oJBfUa6t2nksFIpRvNfCHx8WrfKu/PIvqpGNl+FOMvSc8Hg==" saltValue="0TyetKaS8iF3zKoVbdp6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LEON</v>
      </c>
    </row>
    <row r="4" spans="1:4" ht="13.5" thickBot="1">
      <c r="B4" s="390" t="str">
        <f>Criterios!A11 &amp;"  "&amp;Criterios!B11</f>
        <v>Resumenes por Partidos Judiciales  PONFERRADA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500</v>
      </c>
      <c r="C9" s="433">
        <f>IF(ISNUMBER(Datos!Q9),Datos!Q9," - ")</f>
        <v>294</v>
      </c>
      <c r="D9" s="407">
        <f>IF(ISNUMBER(Datos!R9),Datos!R9," - ")</f>
        <v>7314</v>
      </c>
    </row>
    <row r="10" spans="1:4">
      <c r="A10" s="401" t="str">
        <f>Datos!A10</f>
        <v>Sección De Violencia sobre la Mujer del TI</v>
      </c>
      <c r="B10" s="432">
        <f>IF(ISNUMBER(Datos!P10),Datos!P10," - ")</f>
        <v>2</v>
      </c>
      <c r="C10" s="433">
        <f>IF(ISNUMBER(Datos!Q10),Datos!Q10," - ")</f>
        <v>1</v>
      </c>
      <c r="D10" s="407">
        <f>IF(ISNUMBER(Datos!R10),Datos!R10," - ")</f>
        <v>31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0</v>
      </c>
      <c r="C12" s="433">
        <f>IF(ISNUMBER(Datos!Q12),Datos!Q12," - ")</f>
        <v>15</v>
      </c>
      <c r="D12" s="407">
        <f>IF(ISNUMBER(Datos!R12),Datos!R12," - ")</f>
        <v>1789</v>
      </c>
    </row>
    <row r="13" spans="1:4" ht="14.25" thickTop="1" thickBot="1">
      <c r="A13" s="845" t="str">
        <f>Datos!A13</f>
        <v>TOTAL</v>
      </c>
      <c r="B13" s="846">
        <f>SUBTOTAL(9,B9:B12)</f>
        <v>502</v>
      </c>
      <c r="C13" s="850">
        <f>SUBTOTAL(9,C9:C12)</f>
        <v>310</v>
      </c>
      <c r="D13" s="848">
        <f>SUBTOTAL(9,D9:D12)</f>
        <v>9134</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56</v>
      </c>
      <c r="C15" s="433">
        <f>IF(ISNUMBER(Datos!Q15),Datos!Q15," - ")</f>
        <v>29</v>
      </c>
      <c r="D15" s="407">
        <f>IF(ISNUMBER(Datos!R15),Datos!R15," - ")</f>
        <v>344</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0</v>
      </c>
      <c r="D17" s="407">
        <f>IF(ISNUMBER(Datos!R17),Datos!R17," - ")</f>
        <v>0</v>
      </c>
    </row>
    <row r="18" spans="1:4" ht="13.5" thickBot="1">
      <c r="A18" s="401" t="str">
        <f>Datos!A18</f>
        <v>Sección De Violencia sobre la Mujer del TI</v>
      </c>
      <c r="B18" s="432">
        <f>IF(ISNUMBER(Datos!P18),Datos!P18," - ")</f>
        <v>0</v>
      </c>
      <c r="C18" s="433">
        <f>IF(ISNUMBER(Datos!Q18),Datos!Q18," - ")</f>
        <v>2</v>
      </c>
      <c r="D18" s="407">
        <f>IF(ISNUMBER(Datos!R18),Datos!R18," - ")</f>
        <v>3</v>
      </c>
    </row>
    <row r="19" spans="1:4" ht="14.25" thickTop="1" thickBot="1">
      <c r="A19" s="845" t="str">
        <f>Datos!A19</f>
        <v>TOTAL</v>
      </c>
      <c r="B19" s="846">
        <f>SUBTOTAL(9,B15:B18)</f>
        <v>56</v>
      </c>
      <c r="C19" s="850">
        <f>SUBTOTAL(9,C15:C18)</f>
        <v>31</v>
      </c>
      <c r="D19" s="848">
        <f>SUBTOTAL(9,D15:D18)</f>
        <v>347</v>
      </c>
    </row>
    <row r="20" spans="1:4" ht="16.5" customHeight="1" thickTop="1" thickBot="1">
      <c r="A20" s="790" t="str">
        <f>Datos!A20</f>
        <v>TOTAL JURISDICCIONES</v>
      </c>
      <c r="B20" s="795">
        <f>SUBTOTAL(9,B8:B19)</f>
        <v>558</v>
      </c>
      <c r="C20" s="796">
        <f>SUBTOTAL(9,C8:C19)</f>
        <v>341</v>
      </c>
      <c r="D20" s="797">
        <f>SUBTOTAL(9,D8:D19)</f>
        <v>9481</v>
      </c>
    </row>
    <row r="21" spans="1:4" ht="7.5" customHeight="1"/>
    <row r="22" spans="1:4" ht="6" customHeight="1"/>
    <row r="23" spans="1:4">
      <c r="A23" s="390" t="str">
        <f>Criterios!A4</f>
        <v>Fecha Informe: 18 jun. 2026</v>
      </c>
    </row>
    <row r="28" spans="1:4">
      <c r="A28" s="413"/>
    </row>
  </sheetData>
  <sheetProtection algorithmName="SHA-512" hashValue="73azttgUucUFcBEeowmO9SY14Gs/Q3oOnekQUKLUaGfo30xz9ROtrjykd1ascLHht5CcY0U8F0x9cBmK5RPNXg==" saltValue="855CQ9EydHCCX+GrndJF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LEON</v>
      </c>
    </row>
    <row r="4" spans="1:11" ht="10.5" customHeight="1" thickBot="1">
      <c r="B4" s="390" t="str">
        <f>Criterios!A11 &amp;"  "&amp;Criterios!B11</f>
        <v>Resumenes por Partidos Judiciales  PONFERRADA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-0.33894945490584738</v>
      </c>
      <c r="C9" s="455">
        <f>IF(ISNUMBER(
   IF(J_V="SI",(Datos!J9-Datos!T9)/Datos!T9,(Datos!J9+Datos!Z9-(Datos!T9+Datos!AH9))/(Datos!T9+Datos!AH9))
     ),IF(J_V="SI",(Datos!J9-Datos!T9)/Datos!T9,(Datos!J9+Datos!Z9-(Datos!T9+Datos!AH9))/(Datos!T9+Datos!AH9))," - ")</f>
        <v>-0.45755750273822565</v>
      </c>
      <c r="D9" s="455">
        <f>IF(ISNUMBER(
   IF(J_V="SI",(Datos!K9-Datos!U9)/Datos!U9,(Datos!K9+Datos!AA9-(Datos!U9+Datos!AI9))/(Datos!U9+Datos!AI9))
     ),IF(J_V="SI",(Datos!K9-Datos!U9)/Datos!U9,(Datos!K9+Datos!AA9-(Datos!U9+Datos!AI9))/(Datos!U9+Datos!AI9))," - ")</f>
        <v>-0.21609538002980627</v>
      </c>
      <c r="E9" s="455">
        <f>IF(ISNUMBER(
   IF(J_V="SI",(Datos!L9-Datos!V9)/Datos!V9,(Datos!L9+Datos!AB9-(Datos!V9+Datos!AJ9))/(Datos!V9+Datos!AJ9))
     ),IF(J_V="SI",(Datos!L9-Datos!V9)/Datos!V9,(Datos!L9+Datos!AB9-(Datos!V9+Datos!AJ9))/(Datos!V9+Datos!AJ9))," - ")</f>
        <v>-0.49049049049049048</v>
      </c>
      <c r="F9" s="455">
        <f>IF(ISNUMBER((Datos!M9-Datos!W9)/Datos!W9),(Datos!M9-Datos!W9)/Datos!W9," - ")</f>
        <v>-0.25103305785123969</v>
      </c>
      <c r="G9" s="456">
        <f>IF(ISNUMBER((Datos!N9-Datos!X9)/Datos!X9),(Datos!N9-Datos!X9)/Datos!X9," - ")</f>
        <v>-3.5561877667140827E-2</v>
      </c>
      <c r="H9" s="454">
        <f>IF(ISNUMBER(((NºAsuntos!G9/NºAsuntos!E9)-Datos!BD9)/Datos!BD9),((NºAsuntos!G9/NºAsuntos!E9)-Datos!BD9)/Datos!BD9," - ")</f>
        <v>0.44513865327165436</v>
      </c>
      <c r="I9" s="455">
        <f>IF(ISNUMBER(((NºAsuntos!I9/NºAsuntos!G9)-Datos!BE9)/Datos!BE9),((NºAsuntos!I9/NºAsuntos!G9)-Datos!BE9)/Datos!BE9," - ")</f>
        <v>-0.35003634813520745</v>
      </c>
      <c r="J9" s="460">
        <f>IF(ISNUMBER((('Resol  Asuntos'!D9/NºAsuntos!G9)-Datos!BF9)/Datos!BF9),(('Resol  Asuntos'!D9/NºAsuntos!G9)-Datos!BF9)/Datos!BF9," - ")</f>
        <v>0.31558664928686952</v>
      </c>
      <c r="K9" s="461">
        <f>IF(ISNUMBER((((NºAsuntos!C9+NºAsuntos!E9)/NºAsuntos!G9)-Datos!BG9)/Datos!BG9),(((NºAsuntos!C9+NºAsuntos!E9)/NºAsuntos!G9)-Datos!BG9)/Datos!BG9," - ")</f>
        <v>-0.22859411536620192</v>
      </c>
    </row>
    <row r="10" spans="1:11" ht="21">
      <c r="A10" s="401" t="str">
        <f>Datos!A10</f>
        <v>Sección De Violencia sobre la Mujer del TI</v>
      </c>
      <c r="B10" s="454">
        <f>IF(ISNUMBER((Datos!I10-Datos!S10)/Datos!S10),(Datos!I10-Datos!S10)/Datos!S10," - ")</f>
        <v>1.4</v>
      </c>
      <c r="C10" s="455">
        <f>IF(ISNUMBER((Datos!J10-Datos!T10)/Datos!T10),(Datos!J10-Datos!T10)/Datos!T10," - ")</f>
        <v>0.2857142857142857</v>
      </c>
      <c r="D10" s="455">
        <f>IF(ISNUMBER((Datos!K10-Datos!U10)/Datos!U10),(Datos!K10-Datos!U10)/Datos!U10," - ")</f>
        <v>-0.38461538461538464</v>
      </c>
      <c r="E10" s="455">
        <f>IF(ISNUMBER((Datos!L10-Datos!V10)/Datos!V10),(Datos!L10-Datos!V10)/Datos!V10," - ")</f>
        <v>0.72222222222222221</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-0.5213675213675214</v>
      </c>
      <c r="I10" s="455">
        <f>IF(ISNUMBER(((NºAsuntos!I10/NºAsuntos!G10)-Datos!BE10)/Datos!BE10),((NºAsuntos!I10/NºAsuntos!G10)-Datos!BE10)/Datos!BE10," - ")</f>
        <v>1.7986111111111112</v>
      </c>
      <c r="J10" s="460">
        <f>IF(ISNUMBER((('Resol  Asuntos'!D10/NºAsuntos!G10)-Datos!BF10)/Datos!BF10),(('Resol  Asuntos'!D10/NºAsuntos!G10)-Datos!BF10)/Datos!BF10," - ")</f>
        <v>-1</v>
      </c>
      <c r="K10" s="461">
        <f>IF(ISNUMBER((((NºAsuntos!C10+NºAsuntos!E10)/NºAsuntos!G10)-Datos!BG10)/Datos!BG10),(((NºAsuntos!C10+NºAsuntos!E10)/NºAsuntos!G10)-Datos!BG10)/Datos!BG10," - ")</f>
        <v>1.9725609756097564</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-0.46875</v>
      </c>
      <c r="C12" s="455">
        <f>IF(ISNUMBER(
   IF(J_V="SI",(Datos!J12-Datos!T12)/Datos!T12,(Datos!J12+Datos!Z12-(Datos!T12+Datos!AH12))/(Datos!T12+Datos!AH12))
     ),IF(J_V="SI",(Datos!J12-Datos!T12)/Datos!T12,(Datos!J12+Datos!Z12-(Datos!T12+Datos!AH12))/(Datos!T12+Datos!AH12))," - ")</f>
        <v>-0.92307692307692313</v>
      </c>
      <c r="D12" s="455">
        <f>IF(ISNUMBER(
   IF(J_V="SI",(Datos!K12-Datos!U12)/Datos!U12,(Datos!K12+Datos!AA12-(Datos!U12+Datos!AI12))/(Datos!U12+Datos!AI12))
     ),IF(J_V="SI",(Datos!K12-Datos!U12)/Datos!U12,(Datos!K12+Datos!AA12-(Datos!U12+Datos!AI12))/(Datos!U12+Datos!AI12))," - ")</f>
        <v>-0.55555555555555558</v>
      </c>
      <c r="E12" s="455">
        <f>IF(ISNUMBER(
   IF(J_V="SI",(Datos!L12-Datos!V12)/Datos!V12,(Datos!L12+Datos!AB12-(Datos!V12+Datos!AJ12))/(Datos!V12+Datos!AJ12))
     ),IF(J_V="SI",(Datos!L12-Datos!V12)/Datos!V12,(Datos!L12+Datos!AB12-(Datos!V12+Datos!AJ12))/(Datos!V12+Datos!AJ12))," - ")</f>
        <v>-0.63157894736842102</v>
      </c>
      <c r="F12" s="455">
        <f>IF(ISNUMBER((Datos!M12-Datos!W12)/Datos!W12),(Datos!M12-Datos!W12)/Datos!W12," - ")</f>
        <v>0</v>
      </c>
      <c r="G12" s="456">
        <f>IF(ISNUMBER((Datos!N12-Datos!X12)/Datos!X12),(Datos!N12-Datos!X12)/Datos!X12," - ")</f>
        <v>-0.7142857142857143</v>
      </c>
      <c r="H12" s="454">
        <f>IF(ISNUMBER(((NºAsuntos!G12/NºAsuntos!E12)-Datos!BD12)/Datos!BD12),((NºAsuntos!G12/NºAsuntos!E12)-Datos!BD12)/Datos!BD12," - ")</f>
        <v>4.7777777777777777</v>
      </c>
      <c r="I12" s="455">
        <f>IF(ISNUMBER(((NºAsuntos!I12/NºAsuntos!G12)-Datos!BE12)/Datos!BE12),((NºAsuntos!I12/NºAsuntos!G12)-Datos!BE12)/Datos!BE12," - ")</f>
        <v>-0.1710526315789474</v>
      </c>
      <c r="J12" s="460">
        <f>IF(ISNUMBER((('Resol  Asuntos'!D12/NºAsuntos!G12)-Datos!BF12)/Datos!BF12),(('Resol  Asuntos'!D12/NºAsuntos!G12)-Datos!BF12)/Datos!BF12," - ")</f>
        <v>-0.6785714285714286</v>
      </c>
      <c r="K12" s="461">
        <f>IF(ISNUMBER((((NºAsuntos!C12+NºAsuntos!E12)/NºAsuntos!G12)-Datos!BG12)/Datos!BG12),(((NºAsuntos!C12+NºAsuntos!E12)/NºAsuntos!G12)-Datos!BG12)/Datos!BG12," - ")</f>
        <v>-0.1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-0.33145792563600784</v>
      </c>
      <c r="C13" s="852">
        <f>IF(ISNUMBER(
   IF(J_V="SI",(Datos!J13-Datos!T13)/Datos!T13,(Datos!J13+Datos!Z13-(Datos!T13+Datos!AH13))/(Datos!T13+Datos!AH13))
     ),IF(J_V="SI",(Datos!J13-Datos!T13)/Datos!T13,(Datos!J13+Datos!Z13-(Datos!T13+Datos!AH13))/(Datos!T13+Datos!AH13))," - ")</f>
        <v>-0.45496473141616928</v>
      </c>
      <c r="D13" s="852">
        <f>IF(ISNUMBER(
   IF(J_V="SI",(Datos!K13-Datos!U13)/Datos!U13,(Datos!K13+Datos!AA13-(Datos!U13+Datos!AI13))/(Datos!U13+Datos!AI13))
     ),IF(J_V="SI",(Datos!K13-Datos!U13)/Datos!U13,(Datos!K13+Datos!AA13-(Datos!U13+Datos!AI13))/(Datos!U13+Datos!AI13))," - ")</f>
        <v>-0.21803399852180341</v>
      </c>
      <c r="E13" s="852">
        <f>IF(ISNUMBER(
   IF(J_V="SI",(Datos!L13-Datos!V13)/Datos!V13,(Datos!L13+Datos!AB13-(Datos!V13+Datos!AJ13))/(Datos!V13+Datos!AJ13))
     ),IF(J_V="SI",(Datos!L13-Datos!V13)/Datos!V13,(Datos!L13+Datos!AB13-(Datos!V13+Datos!AJ13))/(Datos!V13+Datos!AJ13))," - ")</f>
        <v>-0.48293549023476029</v>
      </c>
      <c r="F13" s="853">
        <f>IF(ISNUMBER((Datos!M13-Datos!W13)/Datos!W13),(Datos!M13-Datos!W13)/Datos!W13," - ")</f>
        <v>-0.25385405960945528</v>
      </c>
      <c r="G13" s="854">
        <f>IF(ISNUMBER((Datos!N13-Datos!X13)/Datos!X13),(Datos!N13-Datos!X13)/Datos!X13," - ")</f>
        <v>-5.027932960893855E-2</v>
      </c>
      <c r="H13" s="854">
        <f>IF(ISNUMBER(((NºAsuntos!G13/NºAsuntos!E13)-Datos!BD13)/Datos!BD13),((NºAsuntos!G13/NºAsuntos!E13)-Datos!BD13)/Datos!BD13," - ")</f>
        <v>0.43470715851101688</v>
      </c>
      <c r="I13" s="854">
        <f>IF(ISNUMBER(((NºAsuntos!I13/NºAsuntos!G13)-Datos!BE13)/Datos!BE13),((NºAsuntos!I13/NºAsuntos!G13)-Datos!BE13)/Datos!BE13," - ")</f>
        <v>-0.33876343883518978</v>
      </c>
      <c r="J13" s="854">
        <f>IF(ISNUMBER((('Resol  Asuntos'!D13/NºAsuntos!G13)-Datos!BF13)/Datos!BF13),(('Resol  Asuntos'!D13/NºAsuntos!G13)-Datos!BF13)/Datos!BF13," - ")</f>
        <v>0.3003208844974663</v>
      </c>
      <c r="K13" s="854">
        <f>IF(ISNUMBER((((NºAsuntos!C13+NºAsuntos!E13)/NºAsuntos!G13)-Datos!BG13)/Datos!BG13),(((NºAsuntos!C13+NºAsuntos!E13)/NºAsuntos!G13)-Datos!BG13)/Datos!BG13," - ")</f>
        <v>-0.21993796392706438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-0.16090909090909092</v>
      </c>
      <c r="C15" s="455">
        <f>IF(ISNUMBER(
   IF(D_I="SI",(Datos!J15-Datos!T15)/Datos!T15,(Datos!J15+Datos!AD15-(Datos!T15+Datos!AL15))/(Datos!T15+Datos!AL15))
     ),IF(D_I="SI",(Datos!J15-Datos!T15)/Datos!T15,(Datos!J15+Datos!AD15-(Datos!T15+Datos!AL15))/(Datos!T15+Datos!AL15))," - ")</f>
        <v>-8.400884303610906E-2</v>
      </c>
      <c r="D15" s="455">
        <f>IF(ISNUMBER(
   IF(D_I="SI",(Datos!K15-Datos!U15)/Datos!U15,(Datos!K15+Datos!AE15-(Datos!U15+Datos!AM15))/(Datos!U15+Datos!AM15))
     ),IF(D_I="SI",(Datos!K15-Datos!U15)/Datos!U15,(Datos!K15+Datos!AE15-(Datos!U15+Datos!AM15))/(Datos!U15+Datos!AM15))," - ")</f>
        <v>-0.12550607287449392</v>
      </c>
      <c r="E15" s="455">
        <f>IF(ISNUMBER(
   IF(D_I="SI",(Datos!L15-Datos!V15)/Datos!V15,(Datos!L15+Datos!AF15-(Datos!V15+Datos!AN15))/(Datos!V15+Datos!AN15))
     ),IF(D_I="SI",(Datos!L15-Datos!V15)/Datos!V15,(Datos!L15+Datos!AF15-(Datos!V15+Datos!AN15))/(Datos!V15+Datos!AN15))," - ")</f>
        <v>-5.7977958792525153E-2</v>
      </c>
      <c r="F15" s="455">
        <f>IF(ISNUMBER((Datos!M15-Datos!W15)/Datos!W15),(Datos!M15-Datos!W15)/Datos!W15," - ")</f>
        <v>-1.8181818181818181E-2</v>
      </c>
      <c r="G15" s="456">
        <f>IF(ISNUMBER((Datos!N15-Datos!X15)/Datos!X15),(Datos!N15-Datos!X15)/Datos!X15," - ")</f>
        <v>-9.7701149425287362E-2</v>
      </c>
      <c r="H15" s="454">
        <f>IF(ISNUMBER(((NºAsuntos!G15/NºAsuntos!E15)-Datos!BD15)/Datos!BD15),((NºAsuntos!G15/NºAsuntos!E15)-Datos!BD15)/Datos!BD15," - ")</f>
        <v>-4.5303090016643656E-2</v>
      </c>
      <c r="I15" s="455">
        <f>IF(ISNUMBER(((NºAsuntos!I15/NºAsuntos!G15)-Datos!BE15)/Datos!BE15),((NºAsuntos!I15/NºAsuntos!G15)-Datos!BE15)/Datos!BE15," - ")</f>
        <v>7.7219648973362393E-2</v>
      </c>
      <c r="J15" s="460">
        <f>IF(ISNUMBER((('Resol  Asuntos'!D15/NºAsuntos!G15)-Datos!BF15)/Datos!BF15),(('Resol  Asuntos'!D15/NºAsuntos!G15)-Datos!BF15)/Datos!BF15," - ")</f>
        <v>0.12272727272727256</v>
      </c>
      <c r="K15" s="461">
        <f>IF(ISNUMBER((((NºAsuntos!C15+NºAsuntos!E15)/NºAsuntos!G15)-Datos!BG15)/Datos!BG15),(((NºAsuntos!C15+NºAsuntos!E15)/NºAsuntos!G15)-Datos!BG15)/Datos!BG15," - ")</f>
        <v>-6.9359843396953631E-3</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-0.49342105263157893</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-0.53846153846153844</v>
      </c>
      <c r="E17" s="455">
        <f>IF(ISNUMBER(
   IF(D_I="SI",(Datos!L17-Datos!V17)/Datos!V17,(Datos!L17+Datos!AF17-(Datos!V17+Datos!AN17))/(Datos!V17+Datos!AN17))
     ),IF(D_I="SI",(Datos!L17-Datos!V17)/Datos!V17,(Datos!L17+Datos!AF17-(Datos!V17+Datos!AN17))/(Datos!V17+Datos!AN17))," - ")</f>
        <v>-0.52272727272727271</v>
      </c>
      <c r="F17" s="455">
        <f>IF(ISNUMBER((Datos!M17-Datos!W17)/Datos!W17),(Datos!M17-Datos!W17)/Datos!W17," - ")</f>
        <v>-1</v>
      </c>
      <c r="G17" s="456">
        <f>IF(ISNUMBER((Datos!N17-Datos!X17)/Datos!X17),(Datos!N17-Datos!X17)/Datos!X17," - ")</f>
        <v>-0.8666666666666667</v>
      </c>
      <c r="H17" s="454">
        <f>IF(ISNUMBER(((NºAsuntos!G17/NºAsuntos!E17)-Datos!BD17)/Datos!BD17),((NºAsuntos!G17/NºAsuntos!E17)-Datos!BD17)/Datos!BD17," - ")</f>
        <v>-0.53846153846153844</v>
      </c>
      <c r="I17" s="455">
        <f>IF(ISNUMBER(((NºAsuntos!I17/NºAsuntos!G17)-Datos!BE17)/Datos!BE17),((NºAsuntos!I17/NºAsuntos!G17)-Datos!BE17)/Datos!BE17," - ")</f>
        <v>3.4090909090909144E-2</v>
      </c>
      <c r="J17" s="460">
        <f>IF(ISNUMBER((('Resol  Asuntos'!D17/NºAsuntos!G17)-Datos!BF17)/Datos!BF17),(('Resol  Asuntos'!D17/NºAsuntos!G17)-Datos!BF17)/Datos!BF17," - ")</f>
        <v>-1</v>
      </c>
      <c r="K17" s="461">
        <f>IF(ISNUMBER((((NºAsuntos!C17+NºAsuntos!E17)/NºAsuntos!G17)-Datos!BG17)/Datos!BG17),(((NºAsuntos!C17+NºAsuntos!E17)/NºAsuntos!G17)-Datos!BG17)/Datos!BG17," - ")</f>
        <v>0.125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0.15272727272727274</v>
      </c>
      <c r="C18" s="455">
        <f>IF(ISNUMBER(
   IF(D_I="SI",(Datos!J18-Datos!T18)/Datos!T18,(Datos!J18+Datos!AD18-(Datos!T18+Datos!AL18))/(Datos!T18+Datos!AL18))
     ),IF(D_I="SI",(Datos!J18-Datos!T18)/Datos!T18,(Datos!J18+Datos!AD18-(Datos!T18+Datos!AL18))/(Datos!T18+Datos!AL18))," - ")</f>
        <v>-0.29457364341085274</v>
      </c>
      <c r="D18" s="455">
        <f>IF(ISNUMBER(
   IF(D_I="SI",(Datos!K18-Datos!U18)/Datos!U18,(Datos!K18+Datos!AE18-(Datos!U18+Datos!AM18))/(Datos!U18+Datos!AM18))
     ),IF(D_I="SI",(Datos!K18-Datos!U18)/Datos!U18,(Datos!K18+Datos!AE18-(Datos!U18+Datos!AM18))/(Datos!U18+Datos!AM18))," - ")</f>
        <v>0.36065573770491804</v>
      </c>
      <c r="E18" s="455">
        <f>IF(ISNUMBER(
   IF(D_I="SI",(Datos!L18-Datos!V18)/Datos!V18,(Datos!L18+Datos!AF18-(Datos!V18+Datos!AN18))/(Datos!V18+Datos!AN18))
     ),IF(D_I="SI",(Datos!L18-Datos!V18)/Datos!V18,(Datos!L18+Datos!AF18-(Datos!V18+Datos!AN18))/(Datos!V18+Datos!AN18))," - ")</f>
        <v>-2.3323615160349854E-2</v>
      </c>
      <c r="F18" s="455">
        <f>IF(ISNUMBER((Datos!M18-Datos!W18)/Datos!W18),(Datos!M18-Datos!W18)/Datos!W18," - ")</f>
        <v>-0.8571428571428571</v>
      </c>
      <c r="G18" s="456">
        <f>IF(ISNUMBER((Datos!N18-Datos!X18)/Datos!X18),(Datos!N18-Datos!X18)/Datos!X18," - ")</f>
        <v>-2.0833333333333332E-2</v>
      </c>
      <c r="H18" s="454">
        <f>IF(ISNUMBER(((NºAsuntos!G18/NºAsuntos!E18)-Datos!BD18)/Datos!BD18),((NºAsuntos!G18/NºAsuntos!E18)-Datos!BD18)/Datos!BD18," - ")</f>
        <v>0.92884165015312548</v>
      </c>
      <c r="I18" s="455">
        <f>IF(ISNUMBER(((NºAsuntos!I18/NºAsuntos!G18)-Datos!BE18)/Datos!BE18),((NºAsuntos!I18/NºAsuntos!G18)-Datos!BE18)/Datos!BE18," - ")</f>
        <v>-0.28220169306965481</v>
      </c>
      <c r="J18" s="460">
        <f>IF(ISNUMBER((('Resol  Asuntos'!D18/NºAsuntos!G18)-Datos!BF18)/Datos!BF18),(('Resol  Asuntos'!D18/NºAsuntos!G18)-Datos!BF18)/Datos!BF18," - ")</f>
        <v>-0.89500860585197939</v>
      </c>
      <c r="K18" s="461">
        <f>IF(ISNUMBER((((NºAsuntos!C18+NºAsuntos!E18)/NºAsuntos!G18)-Datos!BG18)/Datos!BG18),(((NºAsuntos!C18+NºAsuntos!E18)/NºAsuntos!G18)-Datos!BG18)/Datos!BG18," - ")</f>
        <v>-0.2577836096862699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-0.14731633041492195</v>
      </c>
      <c r="C19" s="852">
        <f>IF(ISNUMBER(
   IF(Criterios!B14="SI",(Datos!J19-Datos!T19)/Datos!T19,(Datos!J19+Datos!AD19-(Datos!T19+Datos!AL19))/(Datos!T19+Datos!AL19))
     ),IF(Criterios!B14="SI",(Datos!J19-Datos!T19)/Datos!T19,(Datos!J19+Datos!AD19-(Datos!T19+Datos!AL19))/(Datos!T19+Datos!AL19))," - ")</f>
        <v>-0.10201342281879194</v>
      </c>
      <c r="D19" s="852">
        <f>IF(ISNUMBER(
   IF(Criterios!B14="SI",(Datos!K19-Datos!U19)/Datos!U19,(Datos!K19+Datos!AE19-(Datos!U19+Datos!AM19))/(Datos!U19+Datos!AM19))
     ),IF(Criterios!B14="SI",(Datos!K19-Datos!U19)/Datos!U19,(Datos!K19+Datos!AE19-(Datos!U19+Datos!AM19))/(Datos!U19+Datos!AM19))," - ")</f>
        <v>-0.11344805608667942</v>
      </c>
      <c r="E19" s="852">
        <f>IF(ISNUMBER(
   IF(Criterios!B14="SI",(Datos!L19-Datos!V19)/Datos!V19,(Datos!L19+Datos!AF19-(Datos!V19+Datos!AN19))/(Datos!V19+Datos!AN19))
     ),IF(Criterios!B14="SI",(Datos!L19-Datos!V19)/Datos!V19,(Datos!L19+Datos!AF19-(Datos!V19+Datos!AN19))/(Datos!V19+Datos!AN19))," - ")</f>
        <v>-7.7283372365339581E-2</v>
      </c>
      <c r="F19" s="853">
        <f>IF(ISNUMBER((Datos!M19-Datos!W19)/Datos!W19),(Datos!M19-Datos!W19)/Datos!W19," - ")</f>
        <v>-7.2340425531914887E-2</v>
      </c>
      <c r="G19" s="854">
        <f>IF(ISNUMBER((Datos!N19-Datos!X19)/Datos!X19),(Datos!N19-Datos!X19)/Datos!X19," - ")</f>
        <v>-0.10610932475884244</v>
      </c>
      <c r="H19" s="854">
        <f>IF(ISNUMBER(((NºAsuntos!G19/NºAsuntos!E19)-Datos!BD19)/Datos!BD19),((NºAsuntos!G19/NºAsuntos!E19)-Datos!BD19)/Datos!BD19," - ")</f>
        <v>-1.2733634954523383E-2</v>
      </c>
      <c r="I19" s="854">
        <f>IF(ISNUMBER(((NºAsuntos!I19/NºAsuntos!G19)-Datos!BE19)/Datos!BE19),((NºAsuntos!I19/NºAsuntos!G19)-Datos!BE19)/Datos!BE19," - ")</f>
        <v>4.0792515283092884E-2</v>
      </c>
      <c r="J19" s="854">
        <f>IF(ISNUMBER((('Resol  Asuntos'!D19/NºAsuntos!G19)-Datos!BF19)/Datos!BF19),(('Resol  Asuntos'!D19/NºAsuntos!G19)-Datos!BF19)/Datos!BF19," - ")</f>
        <v>4.6367988742218154E-2</v>
      </c>
      <c r="K19" s="854">
        <f>IF(ISNUMBER((((NºAsuntos!C19+NºAsuntos!E19)/NºAsuntos!G19)-Datos!BG19)/Datos!BG19),(((NºAsuntos!C19+NºAsuntos!E19)/NºAsuntos!G19)-Datos!BG19)/Datos!BG19," - ")</f>
        <v>-1.9708396407244772E-2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-0.25941921072226359</v>
      </c>
      <c r="C20" s="799">
        <f>IF(ISNUMBER(
   IF(J_V="SI",(Datos!J20-Datos!T20)/Datos!T20,(Datos!J20+Datos!Z20-(Datos!T20+Datos!AH20))/(Datos!T20+Datos!AH20))
     ),IF(J_V="SI",(Datos!J20-Datos!T20)/Datos!T20,(Datos!J20+Datos!Z20-(Datos!T20+Datos!AH20))/(Datos!T20+Datos!AH20))," - ")</f>
        <v>-0.35336166924265844</v>
      </c>
      <c r="D20" s="799">
        <f>IF(ISNUMBER(
   IF(J_V="SI",(Datos!K20-Datos!U20)/Datos!U20,(Datos!K20+Datos!AA20-(Datos!U20+Datos!AI20))/(Datos!U20+Datos!AI20))
     ),IF(J_V="SI",(Datos!K20-Datos!U20)/Datos!U20,(Datos!K20+Datos!AA20-(Datos!U20+Datos!AI20))/(Datos!U20+Datos!AI20))," - ")</f>
        <v>-0.17964912280701753</v>
      </c>
      <c r="E20" s="799">
        <f>IF(ISNUMBER(
   IF(J_V="SI",(Datos!L20-Datos!V20)/Datos!V20,(Datos!L20+Datos!AB20-(Datos!V20+Datos!AJ20))/(Datos!V20+Datos!AJ20))
     ),IF(J_V="SI",(Datos!L20-Datos!V20)/Datos!V20,(Datos!L20+Datos!AB20-(Datos!V20+Datos!AJ20))/(Datos!V20+Datos!AJ20))," - ")</f>
        <v>-0.34674354606211505</v>
      </c>
      <c r="F20" s="800">
        <f>IF(ISNUMBER((Datos!M20-Datos!W20)/Datos!W20),(Datos!M20-Datos!W20)/Datos!W20," - ")</f>
        <v>-0.2185430463576159</v>
      </c>
      <c r="G20" s="801">
        <f>IF(ISNUMBER((Datos!N20-Datos!X20)/Datos!X20),(Datos!N20-Datos!X20)/Datos!X20," - ")</f>
        <v>-8.1867798665858096E-2</v>
      </c>
      <c r="H20" s="802">
        <f>IF(ISNUMBER((Tasas!B20-Datos!BD20)/Datos!BD20),(Tasas!B20-Datos!BD20)/Datos!BD20," - ")</f>
        <v>0.26863942048128991</v>
      </c>
      <c r="I20" s="803">
        <f>IF(ISNUMBER((Tasas!C20-Datos!BE20)/Datos!BE20),(Tasas!C20-Datos!BE20)/Datos!BE20," - ")</f>
        <v>-0.20368652963089307</v>
      </c>
      <c r="J20" s="804">
        <f>IF(ISNUMBER((Tasas!D20-Datos!BF20)/Datos!BF20),(Tasas!D20-Datos!BF20)/Datos!BF20," - ")</f>
        <v>0.21256808977258493</v>
      </c>
      <c r="K20" s="804">
        <f>IF(ISNUMBER((Tasas!E20-Datos!BG20)/Datos!BG20),(Tasas!E20-Datos!BG20)/Datos!BG20," - ")</f>
        <v>-0.14708588757346006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4Q8PpFfor/3AMTJDs+ooebzXc9Lxu+0g9bEoEssj5DrJTb05qcsRlm718b66E9zC/FUKgp73uPzLihhgKAIBQQ==" saltValue="ZO3XpnaDjqdwYZnSRYTwF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LEON</v>
      </c>
    </row>
    <row r="4" spans="1:7" ht="11.25" customHeight="1" thickBot="1">
      <c r="B4" s="390" t="str">
        <f>Criterios!A11 &amp;"  "&amp;Criterios!B11</f>
        <v>Resumenes por Partidos Judiciales  PONFERRADA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1.0620898536092882</v>
      </c>
      <c r="C9" s="442">
        <f>IF(ISNUMBER(NºAsuntos!I9/NºAsuntos!G9),NºAsuntos!I9/NºAsuntos!G9," - ")</f>
        <v>1.2096007604562737</v>
      </c>
      <c r="D9" s="443">
        <f>IF(ISNUMBER('Resol  Asuntos'!D9/NºAsuntos!G9),'Resol  Asuntos'!D9/NºAsuntos!G9," - ")</f>
        <v>0.34458174904942968</v>
      </c>
      <c r="E9" s="444">
        <f>IF(ISNUMBER((NºAsuntos!C9+NºAsuntos!E9)/NºAsuntos!G9),(NºAsuntos!C9+NºAsuntos!E9)/NºAsuntos!G9," - ")</f>
        <v>2.209600760456274</v>
      </c>
      <c r="G9" s="462"/>
    </row>
    <row r="10" spans="1:7" ht="21">
      <c r="A10" s="401" t="str">
        <f>Datos!A10</f>
        <v>Sección De Violencia sobre la Mujer del TI</v>
      </c>
      <c r="B10" s="441">
        <f>IF(ISNUMBER(NºAsuntos!G10/NºAsuntos!E10),NºAsuntos!G10/NºAsuntos!E10," - ")</f>
        <v>0.29629629629629628</v>
      </c>
      <c r="C10" s="442">
        <f>IF(ISNUMBER(NºAsuntos!I10/NºAsuntos!G10),NºAsuntos!I10/NºAsuntos!G10," - ")</f>
        <v>7.75</v>
      </c>
      <c r="D10" s="443">
        <f>IF(ISNUMBER('Resol  Asuntos'!D10/NºAsuntos!G10),'Resol  Asuntos'!D10/NºAsuntos!G10," - ")</f>
        <v>0</v>
      </c>
      <c r="E10" s="444">
        <f>IF(ISNUMBER((NºAsuntos!C10+NºAsuntos!E10)/NºAsuntos!G10),(NºAsuntos!C10+NºAsuntos!E10)/NºAsuntos!G10," - ")</f>
        <v>9.375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4</v>
      </c>
      <c r="C12" s="442">
        <f>IF(ISNUMBER(NºAsuntos!I12/NºAsuntos!G12),NºAsuntos!I12/NºAsuntos!G12," - ")</f>
        <v>3.5</v>
      </c>
      <c r="D12" s="443">
        <f>IF(ISNUMBER('Resol  Asuntos'!D12/NºAsuntos!G12),'Resol  Asuntos'!D12/NºAsuntos!G12," - ")</f>
        <v>0.25</v>
      </c>
      <c r="E12" s="444">
        <f>IF(ISNUMBER((NºAsuntos!C12+NºAsuntos!E12)/NºAsuntos!G12),(NºAsuntos!C12+NºAsuntos!E12)/NºAsuntos!G12," - ")</f>
        <v>4.5</v>
      </c>
      <c r="G12" s="462"/>
    </row>
    <row r="13" spans="1:7" ht="14.25" thickTop="1" thickBot="1">
      <c r="A13" s="845" t="str">
        <f>Datos!A13</f>
        <v>TOTAL</v>
      </c>
      <c r="B13" s="855">
        <f>IF(ISNUMBER(NºAsuntos!G13/NºAsuntos!E13),NºAsuntos!G13/NºAsuntos!E13," - ")</f>
        <v>1.0532603285216526</v>
      </c>
      <c r="C13" s="856">
        <f>IF(ISNUMBER(NºAsuntos!I13/NºAsuntos!G13),NºAsuntos!I13/NºAsuntos!G13," - ")</f>
        <v>1.2386578449905481</v>
      </c>
      <c r="D13" s="857">
        <f>IF(ISNUMBER('Resol  Asuntos'!D13/NºAsuntos!G13),'Resol  Asuntos'!D13/NºAsuntos!G13," - ")</f>
        <v>0.34310018903591682</v>
      </c>
      <c r="E13" s="858">
        <f>IF(ISNUMBER((NºAsuntos!C13+NºAsuntos!E13)/NºAsuntos!G13),(NºAsuntos!C13+NºAsuntos!E13)/NºAsuntos!G13," - ")</f>
        <v>2.2410207939508506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1.0426387771520516</v>
      </c>
      <c r="C15" s="442">
        <f>IF(ISNUMBER(NºAsuntos!I15/NºAsuntos!G15),NºAsuntos!I15/NºAsuntos!G15," - ")</f>
        <v>1.5169753086419753</v>
      </c>
      <c r="D15" s="443">
        <f>IF(ISNUMBER('Resol  Asuntos'!D15/NºAsuntos!G15),'Resol  Asuntos'!D15/NºAsuntos!G15," - ")</f>
        <v>0.16666666666666666</v>
      </c>
      <c r="E15" s="444">
        <f>IF(ISNUMBER((NºAsuntos!C15+NºAsuntos!E15)/NºAsuntos!G15),(NºAsuntos!C15+NºAsuntos!E15)/NºAsuntos!G15," - ")</f>
        <v>2.3834876543209877</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3</v>
      </c>
      <c r="C17" s="442">
        <f>IF(ISNUMBER(NºAsuntos!I17/NºAsuntos!G17),NºAsuntos!I17/NºAsuntos!G17," - ")</f>
        <v>5.25</v>
      </c>
      <c r="D17" s="443">
        <f>IF(ISNUMBER('Resol  Asuntos'!D17/NºAsuntos!G17),'Resol  Asuntos'!D17/NºAsuntos!G17," - ")</f>
        <v>0</v>
      </c>
      <c r="E17" s="444">
        <f>IF(ISNUMBER((NºAsuntos!C17+NºAsuntos!E17)/NºAsuntos!G17),(NºAsuntos!C17+NºAsuntos!E17)/NºAsuntos!G17," - ")</f>
        <v>6.75</v>
      </c>
      <c r="G17" s="462"/>
    </row>
    <row r="18" spans="1:7" ht="21.75" thickBot="1">
      <c r="A18" s="401" t="str">
        <f>Datos!A18</f>
        <v>Sección De Violencia sobre la Mujer del TI</v>
      </c>
      <c r="B18" s="441">
        <f>IF(ISNUMBER(NºAsuntos!G18/NºAsuntos!E18),NºAsuntos!G18/NºAsuntos!E18," - ")</f>
        <v>0.91208791208791207</v>
      </c>
      <c r="C18" s="442">
        <f>IF(ISNUMBER(NºAsuntos!I18/NºAsuntos!G18),NºAsuntos!I18/NºAsuntos!G18," - ")</f>
        <v>4.0361445783132526</v>
      </c>
      <c r="D18" s="443">
        <f>IF(ISNUMBER('Resol  Asuntos'!D18/NºAsuntos!G18),'Resol  Asuntos'!D18/NºAsuntos!G18," - ")</f>
        <v>2.4096385542168676E-2</v>
      </c>
      <c r="E18" s="444">
        <f>IF(ISNUMBER((NºAsuntos!C18+NºAsuntos!E18)/NºAsuntos!G18),(NºAsuntos!C18+NºAsuntos!E18)/NºAsuntos!G18," - ")</f>
        <v>4.9156626506024095</v>
      </c>
      <c r="G18" s="462"/>
    </row>
    <row r="19" spans="1:7" ht="14.25" thickTop="1" thickBot="1">
      <c r="A19" s="845" t="str">
        <f>Datos!A19</f>
        <v>TOTAL</v>
      </c>
      <c r="B19" s="855">
        <f>IF(ISNUMBER(NºAsuntos!G19/NºAsuntos!E19),NºAsuntos!G19/NºAsuntos!E19," - ")</f>
        <v>1.039611360239163</v>
      </c>
      <c r="C19" s="856">
        <f>IF(ISNUMBER(NºAsuntos!I19/NºAsuntos!G19),NºAsuntos!I19/NºAsuntos!G19," - ")</f>
        <v>1.6994967649173256</v>
      </c>
      <c r="D19" s="859">
        <f>IF(ISNUMBER('Resol  Asuntos'!D19/NºAsuntos!G19),'Resol  Asuntos'!D19/NºAsuntos!G19," - ")</f>
        <v>0.15672178289000718</v>
      </c>
      <c r="E19" s="858">
        <f>IF(ISNUMBER((NºAsuntos!C19+NºAsuntos!E19)/NºAsuntos!G19),(NºAsuntos!C19+NºAsuntos!E19)/NºAsuntos!G19," - ")</f>
        <v>2.5722501797268151</v>
      </c>
      <c r="G19" s="462"/>
    </row>
    <row r="20" spans="1:7" ht="15.75" customHeight="1" thickTop="1" thickBot="1">
      <c r="A20" s="790" t="str">
        <f>Datos!A20</f>
        <v>TOTAL JURISDICCIONES</v>
      </c>
      <c r="B20" s="805">
        <f>IF(ISNUMBER(NºAsuntos!G20/NºAsuntos!E20),NºAsuntos!G20/NºAsuntos!E20," - ")</f>
        <v>1.0478040035853002</v>
      </c>
      <c r="C20" s="806">
        <f>IF(ISNUMBER(NºAsuntos!I20/NºAsuntos!G20),NºAsuntos!I20/NºAsuntos!G20," - ")</f>
        <v>1.4214428286284573</v>
      </c>
      <c r="D20" s="807">
        <f>IF(ISNUMBER('Resol  Asuntos'!D20/NºAsuntos!G20),'Resol  Asuntos'!D20/NºAsuntos!G20," - ")</f>
        <v>0.26917593384659255</v>
      </c>
      <c r="E20" s="808">
        <f>IF(ISNUMBER((NºAsuntos!C20+NºAsuntos!E20)/NºAsuntos!G20),(NºAsuntos!C20+NºAsuntos!E20)/NºAsuntos!G20," - ")</f>
        <v>2.3723980610208155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fiWWtLKJBQqqa+WmcIYpjQVTFvx2pckuu3qepiWugdIXwqKzn8Whz5vUlip6AuINtwAVijZOui0bUy2ad1NQOQ==" saltValue="53EUJ76gN0cHD4DJpfetx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LEON</v>
      </c>
      <c r="N2" s="261" t="str">
        <f>Criterios!A11 &amp;"  "&amp;Criterios!B11</f>
        <v>Resumenes por Partidos Judiciales  PONFERRADA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247</v>
      </c>
      <c r="C9" s="159" t="str">
        <f>Datos!A9</f>
        <v>Sección Civil del T.I</v>
      </c>
      <c r="D9" s="159"/>
      <c r="E9" s="1020">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500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294</v>
      </c>
      <c r="Y9" s="333">
        <f>SUM(W9:X9)</f>
        <v>294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7314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725</v>
      </c>
      <c r="AJ9" s="228" t="str">
        <f>IF(ISNUMBER(Datos!BW9),Datos!BW9," - ")</f>
        <v xml:space="preserve"> - </v>
      </c>
      <c r="AK9" s="227" t="str">
        <f>IF(ISNUMBER(Datos!BX9),Datos!BX9," - ")</f>
        <v xml:space="preserve"> - </v>
      </c>
      <c r="AL9" s="242">
        <f>IF(ISNUMBER(NºAsuntos!G9/NºAsuntos!E9),NºAsuntos!G9/NºAsuntos!E9," - ")</f>
        <v>1.0620898536092882</v>
      </c>
      <c r="AM9" s="259">
        <f>IF(ISNUMBER(((NºAsuntos!I9/NºAsuntos!G9)*11)/factor_trimestre),((NºAsuntos!I9/NºAsuntos!G9)*11)/factor_trimestre," - ")</f>
        <v>3.6288022813688214</v>
      </c>
      <c r="AN9" s="243">
        <f>IF(ISNUMBER('Resol  Asuntos'!D9/NºAsuntos!G9),'Resol  Asuntos'!D9/NºAsuntos!G9," - ")</f>
        <v>0.34458174904942968</v>
      </c>
      <c r="AO9" s="244">
        <f>IF(ISNUMBER((NºAsuntos!C9+NºAsuntos!E9)/NºAsuntos!G9),(NºAsuntos!C9+NºAsuntos!E9)/NºAsuntos!G9," - ")</f>
        <v>2.209600760456274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43</v>
      </c>
      <c r="G10" s="332">
        <f>IF(ISNUMBER(Datos!I10),Datos!I10," - ")</f>
        <v>48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1</v>
      </c>
      <c r="Y10" s="333">
        <f t="shared" ref="Y10:Y12" si="0">SUM(W10:X10)</f>
        <v>9</v>
      </c>
      <c r="Z10" s="334" t="str">
        <f>IF(ISNUMBER(Datos!CC10),Datos!CC10," - ")</f>
        <v xml:space="preserve"> - </v>
      </c>
      <c r="AA10" s="331">
        <f>IF(ISNUMBER(Datos!L10),Datos!L10,"-")</f>
        <v>62</v>
      </c>
      <c r="AB10" s="333">
        <f>IF(ISNUMBER(Datos!R10),Datos!R10," - ")</f>
        <v>31</v>
      </c>
      <c r="AC10" s="333">
        <f t="shared" ref="AC10:AC12" si="1">IF(ISNUMBER(AA10+AB10),AA10+AB10," - ")</f>
        <v>93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0.29629629629629628</v>
      </c>
      <c r="AM10" s="259">
        <f>IF(ISNUMBER(((NºAsuntos!I10/NºAsuntos!G10)*11)/factor_trimestre),((NºAsuntos!I10/NºAsuntos!G10)*11)/factor_trimestre," - ")</f>
        <v>23.25</v>
      </c>
      <c r="AN10" s="243">
        <f>IF(ISNUMBER('Resol  Asuntos'!D10/NºAsuntos!G10),'Resol  Asuntos'!D10/NºAsuntos!G10," - ")</f>
        <v>0</v>
      </c>
      <c r="AO10" s="244">
        <f>IF(ISNUMBER((NºAsuntos!C10+NºAsuntos!E10)/NºAsuntos!G10),(NºAsuntos!C10+NºAsuntos!E10)/NºAsuntos!G10," - ")</f>
        <v>9.375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v>
      </c>
      <c r="Y12" s="333">
        <f t="shared" si="0"/>
        <v>15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1789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v>
      </c>
      <c r="AJ12" s="228" t="str">
        <f>IF(ISNUMBER(Datos!BW12),Datos!BW12," - ")</f>
        <v xml:space="preserve"> - </v>
      </c>
      <c r="AK12" s="227" t="str">
        <f>IF(ISNUMBER(Datos!BX12),Datos!BX12," - ")</f>
        <v xml:space="preserve"> - </v>
      </c>
      <c r="AL12" s="242">
        <f>IF(ISNUMBER(NºAsuntos!G12/NºAsuntos!E12),NºAsuntos!G12/NºAsuntos!E12," - ")</f>
        <v>4</v>
      </c>
      <c r="AM12" s="259">
        <f>IF(ISNUMBER(((NºAsuntos!I12/NºAsuntos!G12)*11)/factor_trimestre),((NºAsuntos!I12/NºAsuntos!G12)*11)/factor_trimestre," - ")</f>
        <v>10.5</v>
      </c>
      <c r="AN12" s="243">
        <f>IF(ISNUMBER('Resol  Asuntos'!D12/NºAsuntos!G12),'Resol  Asuntos'!D12/NºAsuntos!G12," - ")</f>
        <v>0.25</v>
      </c>
      <c r="AO12" s="244">
        <f>IF(ISNUMBER((NºAsuntos!C12+NºAsuntos!E12)/NºAsuntos!G12),(NºAsuntos!C12+NºAsuntos!E12)/NºAsuntos!G12," - ")</f>
        <v>4.5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43</v>
      </c>
      <c r="G13" s="863">
        <f t="shared" si="3"/>
        <v>48</v>
      </c>
      <c r="H13" s="862">
        <f t="shared" si="3"/>
        <v>0</v>
      </c>
      <c r="I13" s="864">
        <f t="shared" si="3"/>
        <v>0</v>
      </c>
      <c r="J13" s="864">
        <f t="shared" si="3"/>
        <v>0</v>
      </c>
      <c r="K13" s="864">
        <f t="shared" si="3"/>
        <v>0</v>
      </c>
      <c r="L13" s="864">
        <f t="shared" si="3"/>
        <v>502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8</v>
      </c>
      <c r="X13" s="864">
        <f t="shared" si="4"/>
        <v>310</v>
      </c>
      <c r="Y13" s="865">
        <f t="shared" si="4"/>
        <v>318</v>
      </c>
      <c r="Z13" s="865">
        <f t="shared" si="4"/>
        <v>0</v>
      </c>
      <c r="AA13" s="865">
        <f t="shared" si="4"/>
        <v>62</v>
      </c>
      <c r="AB13" s="865">
        <f t="shared" si="4"/>
        <v>9134</v>
      </c>
      <c r="AC13" s="865">
        <f t="shared" si="4"/>
        <v>93</v>
      </c>
      <c r="AD13" s="865">
        <f t="shared" si="4"/>
        <v>0</v>
      </c>
      <c r="AE13" s="869">
        <f t="shared" si="4"/>
        <v>0</v>
      </c>
      <c r="AF13" s="862">
        <f t="shared" si="4"/>
        <v>0</v>
      </c>
      <c r="AG13" s="870">
        <f t="shared" si="4"/>
        <v>0</v>
      </c>
      <c r="AH13" s="867">
        <f t="shared" si="4"/>
        <v>0</v>
      </c>
      <c r="AI13" s="862">
        <f t="shared" si="4"/>
        <v>726</v>
      </c>
      <c r="AJ13" s="864">
        <f t="shared" si="4"/>
        <v>0</v>
      </c>
      <c r="AK13" s="867">
        <f>SUBTOTAL(9,AK9:AK12)</f>
        <v>0</v>
      </c>
      <c r="AL13" s="871">
        <f>IF(ISNUMBER(NºAsuntos!G13/NºAsuntos!E13),NºAsuntos!G13/NºAsuntos!E13," - ")</f>
        <v>1.0532603285216526</v>
      </c>
      <c r="AM13" s="871">
        <f>IF(ISNUMBER(((NºAsuntos!I13/NºAsuntos!G13)*11)/factor_trimestre),((NºAsuntos!I13/NºAsuntos!G13)*11)/factor_trimestre," - ")</f>
        <v>3.7159735349716443</v>
      </c>
      <c r="AN13" s="872">
        <f>IF(ISNUMBER('Resol  Asuntos'!D13/NºAsuntos!G13),'Resol  Asuntos'!D13/NºAsuntos!G13," - ")</f>
        <v>0.34310018903591682</v>
      </c>
      <c r="AO13" s="873">
        <f>IF(ISNUMBER((NºAsuntos!C13+NºAsuntos!E13)/NºAsuntos!G13),(NºAsuntos!C13+NºAsuntos!E13)/NºAsuntos!G13," - ")</f>
        <v>2.2410207939508506</v>
      </c>
      <c r="AP13" s="874" t="str">
        <f t="shared" si="2"/>
        <v xml:space="preserve"> - </v>
      </c>
      <c r="AQ13" s="874">
        <f>IF(ISNUMBER((H13-W13+K13)/(F13)),(H13-W13+K13)/(F13)," - ")</f>
        <v>-0.18604651162790697</v>
      </c>
      <c r="AR13" s="875">
        <f>IF(ISNUMBER((Datos!P13-Datos!Q13)/(Datos!R13-Datos!P13+Datos!Q13)),(Datos!P13-Datos!Q13)/(Datos!R13-Datos!P13+Datos!Q13)," - ")</f>
        <v>2.147170655334377E-2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3</v>
      </c>
      <c r="B15" s="274" t="s">
        <v>397</v>
      </c>
      <c r="C15" s="159" t="str">
        <f>Datos!A15</f>
        <v xml:space="preserve">Seccion Instruccion Del T.I.                   </v>
      </c>
      <c r="D15" s="159"/>
      <c r="E15" s="1020">
        <f>IF(ISNUMBER(Datos!AQ15),Datos!AQ15," - ")</f>
        <v>3</v>
      </c>
      <c r="F15" s="224">
        <f>IF(ISNUMBER(AA15+W15-Datos!J15-K15),AA15+W15-Datos!J15-K15," - ")</f>
        <v>2019</v>
      </c>
      <c r="G15" s="332">
        <f>IF(ISNUMBER(IF(D_I="SI",Datos!I15,Datos!I15+Datos!AC15)),IF(D_I="SI",Datos!I15,Datos!I15+Datos!AC15)," - ")</f>
        <v>1846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56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1296</v>
      </c>
      <c r="X15" s="225">
        <f>IF(ISNUMBER(Datos!Q15),Datos!Q15," - ")</f>
        <v>29</v>
      </c>
      <c r="Y15" s="333">
        <f>SUM(W15)</f>
        <v>1296</v>
      </c>
      <c r="Z15" s="334" t="str">
        <f>IF(ISNUMBER(Datos!CC15),Datos!CC15," - ")</f>
        <v xml:space="preserve"> - </v>
      </c>
      <c r="AA15" s="331">
        <f>IF(ISNUMBER(IF(D_I="SI",Datos!L15,Datos!L15+Datos!AF15)),IF(D_I="SI",Datos!L15,Datos!L15+Datos!AF15)," - ")</f>
        <v>1966</v>
      </c>
      <c r="AB15" s="333">
        <f>IF(ISNUMBER(Datos!R15),Datos!R15," - ")</f>
        <v>344</v>
      </c>
      <c r="AC15" s="333">
        <f t="shared" ref="AC15:AC18" si="6">IF(ISNUMBER(AA15+AB15),AA15+AB15," - ")</f>
        <v>2310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216</v>
      </c>
      <c r="AJ15" s="230" t="str">
        <f>IF(ISNUMBER(Datos!BW15),Datos!BW15," - ")</f>
        <v xml:space="preserve"> - </v>
      </c>
      <c r="AK15" s="231" t="str">
        <f>IF(ISNUMBER(Datos!BX15),Datos!BX15," - ")</f>
        <v xml:space="preserve"> - </v>
      </c>
      <c r="AL15" s="242">
        <f>IF(ISNUMBER(NºAsuntos!G15/NºAsuntos!E15),NºAsuntos!G15/NºAsuntos!E15," - ")</f>
        <v>1.0426387771520516</v>
      </c>
      <c r="AM15" s="259">
        <f>IF(ISNUMBER(((NºAsuntos!I15/NºAsuntos!G15)*11)/factor_trimestre),((NºAsuntos!I15/NºAsuntos!G15)*11)/factor_trimestre," - ")</f>
        <v>4.5509259259259256</v>
      </c>
      <c r="AN15" s="243">
        <f>IF(ISNUMBER('Resol  Asuntos'!D15/NºAsuntos!G15),'Resol  Asuntos'!D15/NºAsuntos!G15," - ")</f>
        <v>0.16666666666666666</v>
      </c>
      <c r="AO15" s="244">
        <f>IF(ISNUMBER((NºAsuntos!C15+NºAsuntos!E15)/NºAsuntos!G15),(NºAsuntos!C15+NºAsuntos!E15)/NºAsuntos!G15," - ")</f>
        <v>2.3834876543209877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f>IF(ISNUMBER(AA17+W17-Datos!J17-K17),AA17+W17-Datos!J17-K17," - ")</f>
        <v>71</v>
      </c>
      <c r="G17" s="332">
        <f>IF(ISNUMBER(IF(D_I="SI",Datos!I17,Datos!I17+Datos!AC17)),IF(D_I="SI",Datos!I17,Datos!I17+Datos!AC17)," - ")</f>
        <v>77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v>
      </c>
      <c r="X17" s="225">
        <f>IF(ISNUMBER(Datos!Q17),Datos!Q17," - ")</f>
        <v>0</v>
      </c>
      <c r="Y17" s="333">
        <f t="shared" ref="Y17:Y18" si="9">SUM(W17:X17)</f>
        <v>12</v>
      </c>
      <c r="Z17" s="334" t="str">
        <f>IF(ISNUMBER(Datos!CC17),Datos!CC17," - ")</f>
        <v xml:space="preserve"> - </v>
      </c>
      <c r="AA17" s="331">
        <f>IF(ISNUMBER(IF(D_I="SI",Datos!L17,Datos!L17+Datos!AF17)),IF(D_I="SI",Datos!L17,Datos!L17+Datos!AF17)," - ")</f>
        <v>63</v>
      </c>
      <c r="AB17" s="333">
        <f>IF(ISNUMBER(Datos!R17),Datos!R17," - ")</f>
        <v>0</v>
      </c>
      <c r="AC17" s="333">
        <f t="shared" si="6"/>
        <v>63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3</v>
      </c>
      <c r="AM17" s="259">
        <f>IF(ISNUMBER(((NºAsuntos!I17/NºAsuntos!G17)*11)/factor_trimestre),((NºAsuntos!I17/NºAsuntos!G17)*11)/factor_trimestre," - ")</f>
        <v>15.75</v>
      </c>
      <c r="AN17" s="243">
        <f>IF(ISNUMBER('Resol  Asuntos'!D17/NºAsuntos!G17),'Resol  Asuntos'!D17/NºAsuntos!G17," - ")</f>
        <v>0</v>
      </c>
      <c r="AO17" s="244">
        <f>IF(ISNUMBER((NºAsuntos!C17+NºAsuntos!E17)/NºAsuntos!G17),(NºAsuntos!C17+NºAsuntos!E17)/NºAsuntos!G17," - ")</f>
        <v>6.75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317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83</v>
      </c>
      <c r="X18" s="225">
        <f>IF(ISNUMBER(Datos!Q18),Datos!Q18," - ")</f>
        <v>2</v>
      </c>
      <c r="Y18" s="333">
        <f t="shared" si="9"/>
        <v>85</v>
      </c>
      <c r="Z18" s="334" t="str">
        <f>IF(ISNUMBER(Datos!CC18),Datos!CC18," - ")</f>
        <v xml:space="preserve"> - </v>
      </c>
      <c r="AA18" s="331">
        <f>IF(ISNUMBER(Datos!L18),Datos!L18,"-")</f>
        <v>335</v>
      </c>
      <c r="AB18" s="333">
        <f>IF(ISNUMBER(Datos!R18),Datos!R18," - ")</f>
        <v>3</v>
      </c>
      <c r="AC18" s="333">
        <f t="shared" si="6"/>
        <v>338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0.91208791208791207</v>
      </c>
      <c r="AM18" s="259">
        <f>IF(ISNUMBER(((NºAsuntos!I18/NºAsuntos!G18)*11)/factor_trimestre),((NºAsuntos!I18/NºAsuntos!G18)*11)/factor_trimestre," - ")</f>
        <v>12.108433734939759</v>
      </c>
      <c r="AN18" s="243">
        <f>IF(ISNUMBER('Resol  Asuntos'!D18/NºAsuntos!G18),'Resol  Asuntos'!D18/NºAsuntos!G18," - ")</f>
        <v>2.4096385542168676E-2</v>
      </c>
      <c r="AO18" s="244">
        <f>IF(ISNUMBER((NºAsuntos!C18+NºAsuntos!E18)/NºAsuntos!G18),(NºAsuntos!C18+NºAsuntos!E18)/NºAsuntos!G18," - ")</f>
        <v>4.9156626506024095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2090</v>
      </c>
      <c r="G19" s="863">
        <f>SUBTOTAL(9,G15:G18)</f>
        <v>2240</v>
      </c>
      <c r="H19" s="862">
        <f t="shared" ref="H19:O19" si="12">SUBTOTAL(9,H14:H18)</f>
        <v>0</v>
      </c>
      <c r="I19" s="864">
        <f t="shared" si="12"/>
        <v>0</v>
      </c>
      <c r="J19" s="864">
        <f t="shared" si="12"/>
        <v>0</v>
      </c>
      <c r="K19" s="864">
        <f t="shared" si="12"/>
        <v>0</v>
      </c>
      <c r="L19" s="864">
        <f t="shared" si="12"/>
        <v>56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1391</v>
      </c>
      <c r="X19" s="864">
        <f t="shared" si="13"/>
        <v>31</v>
      </c>
      <c r="Y19" s="865">
        <f t="shared" si="13"/>
        <v>1393</v>
      </c>
      <c r="Z19" s="865">
        <f t="shared" si="13"/>
        <v>0</v>
      </c>
      <c r="AA19" s="865">
        <f t="shared" si="13"/>
        <v>2364</v>
      </c>
      <c r="AB19" s="865">
        <f t="shared" si="13"/>
        <v>347</v>
      </c>
      <c r="AC19" s="865">
        <f t="shared" si="13"/>
        <v>2711</v>
      </c>
      <c r="AD19" s="865">
        <f t="shared" si="13"/>
        <v>0</v>
      </c>
      <c r="AE19" s="869">
        <f t="shared" si="13"/>
        <v>0</v>
      </c>
      <c r="AF19" s="862">
        <f t="shared" si="13"/>
        <v>0</v>
      </c>
      <c r="AG19" s="870">
        <f t="shared" si="13"/>
        <v>0</v>
      </c>
      <c r="AH19" s="867">
        <f t="shared" si="13"/>
        <v>0</v>
      </c>
      <c r="AI19" s="862">
        <f t="shared" si="13"/>
        <v>218</v>
      </c>
      <c r="AJ19" s="864">
        <f t="shared" si="13"/>
        <v>0</v>
      </c>
      <c r="AK19" s="867">
        <f t="shared" si="13"/>
        <v>0</v>
      </c>
      <c r="AL19" s="871">
        <f>IF(ISNUMBER(NºAsuntos!G19/NºAsuntos!E19),NºAsuntos!G19/NºAsuntos!E19," - ")</f>
        <v>1.039611360239163</v>
      </c>
      <c r="AM19" s="871">
        <f>IF(ISNUMBER(((NºAsuntos!I19/NºAsuntos!G19)*11)/factor_trimestre),((NºAsuntos!I19/NºAsuntos!G19)*11)/factor_trimestre," - ")</f>
        <v>5.0984902947519775</v>
      </c>
      <c r="AN19" s="872">
        <f>IF(ISNUMBER('Resol  Asuntos'!D19/NºAsuntos!G19),'Resol  Asuntos'!D19/NºAsuntos!G19," - ")</f>
        <v>0.15672178289000718</v>
      </c>
      <c r="AO19" s="873">
        <f>IF(ISNUMBER((NºAsuntos!C19+NºAsuntos!E19)/NºAsuntos!G19),(NºAsuntos!C19+NºAsuntos!E19)/NºAsuntos!G19," - ")</f>
        <v>2.5722501797268151</v>
      </c>
      <c r="AP19" s="874" t="str">
        <f t="shared" si="2"/>
        <v xml:space="preserve"> - </v>
      </c>
      <c r="AQ19" s="874">
        <f>IF(ISNUMBER((H19-W19+K19)/(F19)),(H19-W19+K19)/(F19)," - ")</f>
        <v>-0.66555023923444978</v>
      </c>
      <c r="AR19" s="875">
        <f>IF(ISNUMBER((Datos!P19-Datos!Q19)/(Datos!R19-Datos!P19+Datos!Q19)),(Datos!P19-Datos!Q19)/(Datos!R19-Datos!P19+Datos!Q19)," - ")</f>
        <v>7.7639751552795025E-2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9</v>
      </c>
      <c r="F20" s="817">
        <f t="shared" si="15"/>
        <v>2133</v>
      </c>
      <c r="G20" s="818">
        <f t="shared" si="15"/>
        <v>2288</v>
      </c>
      <c r="H20" s="817">
        <f t="shared" si="15"/>
        <v>0</v>
      </c>
      <c r="I20" s="819">
        <f t="shared" si="15"/>
        <v>0</v>
      </c>
      <c r="J20" s="819">
        <f t="shared" si="15"/>
        <v>0</v>
      </c>
      <c r="K20" s="878">
        <f t="shared" si="15"/>
        <v>0</v>
      </c>
      <c r="L20" s="819">
        <f t="shared" si="15"/>
        <v>558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1399</v>
      </c>
      <c r="X20" s="818">
        <f t="shared" si="16"/>
        <v>341</v>
      </c>
      <c r="Y20" s="825">
        <f t="shared" si="16"/>
        <v>1711</v>
      </c>
      <c r="Z20" s="825">
        <f t="shared" si="16"/>
        <v>0</v>
      </c>
      <c r="AA20" s="825">
        <f t="shared" si="16"/>
        <v>2426</v>
      </c>
      <c r="AB20" s="825">
        <f t="shared" si="16"/>
        <v>9481</v>
      </c>
      <c r="AC20" s="825">
        <f t="shared" si="16"/>
        <v>2804</v>
      </c>
      <c r="AD20" s="825">
        <f t="shared" si="16"/>
        <v>0</v>
      </c>
      <c r="AE20" s="827">
        <f t="shared" si="16"/>
        <v>0</v>
      </c>
      <c r="AF20" s="828">
        <f t="shared" si="16"/>
        <v>0</v>
      </c>
      <c r="AG20" s="829">
        <f t="shared" si="16"/>
        <v>0</v>
      </c>
      <c r="AH20" s="827">
        <f t="shared" si="16"/>
        <v>0</v>
      </c>
      <c r="AI20" s="817">
        <f t="shared" si="16"/>
        <v>944</v>
      </c>
      <c r="AJ20" s="817">
        <f t="shared" si="16"/>
        <v>0</v>
      </c>
      <c r="AK20" s="827">
        <f t="shared" si="16"/>
        <v>0</v>
      </c>
      <c r="AL20" s="881">
        <f>IF(ISNUMBER(NºAsuntos!G20/NºAsuntos!E20),NºAsuntos!G20/NºAsuntos!E20," - ")</f>
        <v>1.0478040035853002</v>
      </c>
      <c r="AM20" s="882">
        <f>IF(ISNUMBER(((NºAsuntos!I20/NºAsuntos!G20)*11)/factor_trimestre),((NºAsuntos!I20/NºAsuntos!G20)*11)/factor_trimestre," - ")</f>
        <v>4.2643284858853718</v>
      </c>
      <c r="AN20" s="882">
        <f>IF(ISNUMBER('Resol  Asuntos'!D20/NºAsuntos!G20),'Resol  Asuntos'!D20/NºAsuntos!G20," - ")</f>
        <v>0.26917593384659255</v>
      </c>
      <c r="AO20" s="883">
        <f>IF(ISNUMBER((NºAsuntos!C20+NºAsuntos!E20)/NºAsuntos!G20),(NºAsuntos!C20+NºAsuntos!E20)/NºAsuntos!G20," - ")</f>
        <v>2.3723980610208155</v>
      </c>
      <c r="AP20" s="884" t="str">
        <f t="shared" si="2"/>
        <v xml:space="preserve"> - </v>
      </c>
      <c r="AQ20" s="885">
        <f>IF(OR(ISNUMBER(FIND("01",Criterios!A8,1)),ISNUMBER(FIND("02",Criterios!A8,1)),ISNUMBER(FIND("03",Criterios!A8,1)),ISNUMBER(FIND("04",Criterios!A8,1))),(I20-W20+K20)/(F20-K20),(H20-W20+K20)/(F20-K20))</f>
        <v>-0.65588373183309889</v>
      </c>
      <c r="AR20" s="886">
        <f>IF(ISNUMBER((Datos!P20-Datos!Q20)/(Datos!R20-Datos!P20+Datos!Q20)),(Datos!P20-Datos!Q20)/(Datos!R20-Datos!P20+Datos!Q20)," - ")</f>
        <v>2.3424006908462868E-2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762.66666666666663</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2.5298221281347035</v>
      </c>
      <c r="F22" s="251">
        <f>IF(ISNUMBER(STDEV(F8:F19)),STDEV(F8:F19),"-")</f>
        <v>1096.9786688901474</v>
      </c>
      <c r="G22" s="252">
        <f>IF(ISNUMBER(STDEV(G8:G19)),STDEV(G8:G19),"-")</f>
        <v>1004.6272277151694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680.71393893960078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316.52533186821825</v>
      </c>
      <c r="AJ22" s="251">
        <f t="shared" si="20"/>
        <v>0</v>
      </c>
      <c r="AK22" s="253">
        <f t="shared" si="20"/>
        <v>0</v>
      </c>
      <c r="AL22" s="248">
        <f t="shared" si="20"/>
        <v>1.2584808823101572</v>
      </c>
      <c r="AM22" s="249">
        <f t="shared" si="20"/>
        <v>7.0394273875430411</v>
      </c>
      <c r="AN22" s="249">
        <f t="shared" si="20"/>
        <v>0.14413175913456042</v>
      </c>
      <c r="AO22" s="250">
        <f t="shared" si="20"/>
        <v>2.6023907888342879</v>
      </c>
      <c r="AP22" s="290" t="str">
        <f t="shared" si="20"/>
        <v>-</v>
      </c>
      <c r="AQ22" s="291">
        <f t="shared" si="20"/>
        <v>0.3390603373948135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twCtXA/hZVC1FFsJfRCoY/KnbP0Zhlh3BoK7xovzvCDCx8KHdd9vCVw+Z04rA+XeXbAbn3O6qZl8nthCIm2Hw==" saltValue="GKl/BwMoPxzZO+X/3CsW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LEON</v>
      </c>
      <c r="E3" s="262"/>
    </row>
    <row r="4" spans="2:20" ht="17.25" customHeight="1" thickBot="1">
      <c r="D4" s="261" t="str">
        <f>Criterios!A11 &amp;"  "&amp;Criterios!B11</f>
        <v>Resumenes por Partidos Judiciales  PONFERRADA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-0.25103305785123969</v>
      </c>
      <c r="I9" s="349">
        <f>IF(ISNUMBER((Tasas!C9-Datos!BE9)/Datos!BE9),(Tasas!C9-Datos!BE9)/Datos!BE9," - ")</f>
        <v>-0.35003634813520745</v>
      </c>
      <c r="J9" s="348">
        <f>IF(ISNUMBER((Tasas!D9-Datos!BF9)/Datos!BF9),(Tasas!D9-Datos!BF9)/Datos!BF9," - ")</f>
        <v>0.31558664928686952</v>
      </c>
      <c r="K9" s="350">
        <f>IF(ISNUMBER((Tasas!E9-Datos!BG9)/Datos!BG9),(Tasas!E9-Datos!BG9)/Datos!BG9," - ")</f>
        <v>-0.22859411536620192</v>
      </c>
      <c r="M9" t="e">
        <f>IF(Monitorios="SI",Datos!CE9,0)</f>
        <v>#REF!</v>
      </c>
      <c r="N9" t="e">
        <f>IF(Monitorios="SI",Datos!CF9,0)</f>
        <v>#REF!</v>
      </c>
      <c r="O9" t="e">
        <f>IF(Monitorios="SI",Datos!CG9,0)</f>
        <v>#REF!</v>
      </c>
      <c r="P9" t="e">
        <f>IF(Monitorios="SI",Datos!CH9,0)</f>
        <v>#REF!</v>
      </c>
      <c r="Q9">
        <f>IF(J_V="SI",0,Datos!AG9)</f>
        <v>24</v>
      </c>
      <c r="R9">
        <f>IF(J_V="SI",0,Datos!AH9)</f>
        <v>98</v>
      </c>
      <c r="S9">
        <f>IF(J_V="SI",0,Datos!AI9)</f>
        <v>79</v>
      </c>
      <c r="T9">
        <f>IF(J_V="SI",0,Datos!AJ9)</f>
        <v>43</v>
      </c>
    </row>
    <row r="10" spans="2:20" ht="14.25">
      <c r="B10" s="274" t="s">
        <v>247</v>
      </c>
      <c r="C10" s="7" t="str">
        <f>Datos!A10</f>
        <v>Sección De Violencia sobre la Mujer del TI</v>
      </c>
      <c r="D10" s="351">
        <f>IF(ISNUMBER((Datos!I10-Datos!S10)/Datos!S10),(Datos!I10-Datos!S10)/Datos!S10," - ")</f>
        <v>1.4</v>
      </c>
      <c r="E10" s="347">
        <f>IF(ISNUMBER((Datos!J10-Datos!T10)/Datos!T10),(Datos!J10-Datos!T10)/Datos!T10," - ")</f>
        <v>0.2857142857142857</v>
      </c>
      <c r="F10" s="347">
        <f>IF(ISNUMBER((Datos!K10-Datos!U10)/Datos!U10),(Datos!K10-Datos!U10)/Datos!U10," - ")</f>
        <v>-0.38461538461538464</v>
      </c>
      <c r="G10" s="348">
        <f>IF(ISNUMBER((Datos!L10-Datos!V10)/Datos!V10),(Datos!L10-Datos!V10)/Datos!V10," - ")</f>
        <v>0.72222222222222221</v>
      </c>
      <c r="H10" s="229">
        <f>IF(ISNUMBER((Datos!M10-Datos!W10)/Datos!W10),(Datos!M10-Datos!W10)/Datos!W10," - ")</f>
        <v>-1</v>
      </c>
      <c r="I10" s="349">
        <f>IF(ISNUMBER((Tasas!C10-Datos!BE10)/Datos!BE10),(Tasas!C10-Datos!BE10)/Datos!BE10," - ")</f>
        <v>1.7986111111111112</v>
      </c>
      <c r="J10" s="348">
        <f>IF(ISNUMBER((Tasas!D10-Datos!BF10)/Datos!BF10),(Tasas!D10-Datos!BF10)/Datos!BF10," - ")</f>
        <v>-1</v>
      </c>
      <c r="K10" s="350">
        <f>IF(ISNUMBER((Tasas!E10-Datos!BG10)/Datos!BG10),(Tasas!E10-Datos!BG10)/Datos!BG10," - ")</f>
        <v>1.9725609756097564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v>
      </c>
      <c r="I12" s="349">
        <f>IF(ISNUMBER((Tasas!C12-Datos!BE12)/Datos!BE12),(Tasas!C12-Datos!BE12)/Datos!BE12," - ")</f>
        <v>-0.1710526315789474</v>
      </c>
      <c r="J12" s="348">
        <f>IF(ISNUMBER((Tasas!D12-Datos!BF12)/Datos!BF12),(Tasas!D12-Datos!BF12)/Datos!BF12," - ")</f>
        <v>-0.6785714285714286</v>
      </c>
      <c r="K12" s="350">
        <f>IF(ISNUMBER((Tasas!E12-Datos!BG12)/Datos!BG12),(Tasas!E12-Datos!BG12)/Datos!BG12," - ")</f>
        <v>-0.1</v>
      </c>
      <c r="M12" t="e">
        <f>IF(Monitorios="SI",Datos!CE12,0)</f>
        <v>#REF!</v>
      </c>
      <c r="N12" t="e">
        <f>IF(Monitorios="SI",Datos!CF12,0)</f>
        <v>#REF!</v>
      </c>
      <c r="O12" t="e">
        <f>IF(Monitorios="SI",Datos!CG12,0)</f>
        <v>#REF!</v>
      </c>
      <c r="P12" t="e">
        <f>IF(Monitorios="SI",Datos!CH12,0)</f>
        <v>#REF!</v>
      </c>
      <c r="Q12">
        <f>IF(J_V="SI",0,Datos!AG12)</f>
        <v>0</v>
      </c>
      <c r="R12">
        <f>IF(J_V="SI",0,Datos!AH12)</f>
        <v>3</v>
      </c>
      <c r="S12">
        <f>IF(J_V="SI",0,Datos!AI12)</f>
        <v>3</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-0.25385405960945528</v>
      </c>
      <c r="I13" s="356">
        <f>IF(ISNUMBER((Tasas!C13-Datos!BE13)/Datos!BE13),(Tasas!C13-Datos!BE13)/Datos!BE13," - ")</f>
        <v>-0.33876343883518978</v>
      </c>
      <c r="J13" s="354">
        <f>IF(ISNUMBER((Tasas!D13-Datos!BF13)/Datos!BF13),(Tasas!D13-Datos!BF13)/Datos!BF13," - ")</f>
        <v>0.3003208844974663</v>
      </c>
      <c r="K13" s="357">
        <f>IF(ISNUMBER((Tasas!E13-Datos!BG13)/Datos!BG13),(Tasas!E13-Datos!BG13)/Datos!BG13," - ")</f>
        <v>-0.21993796392706438</v>
      </c>
      <c r="M13" t="e">
        <f>IF(Monitorios="SI",Datos!CE13,0)</f>
        <v>#REF!</v>
      </c>
      <c r="N13" t="e">
        <f>IF(Monitorios="SI",Datos!CF13,0)</f>
        <v>#REF!</v>
      </c>
      <c r="O13" t="e">
        <f>IF(Monitorios="SI",Datos!CG13,0)</f>
        <v>#REF!</v>
      </c>
      <c r="P13" t="e">
        <f>IF(Monitorios="SI",Datos!CH13,0)</f>
        <v>#REF!</v>
      </c>
      <c r="Q13">
        <f>IF(J_V="SI",0,Datos!AG13)</f>
        <v>24</v>
      </c>
      <c r="R13">
        <f>IF(J_V="SI",0,Datos!AH13)</f>
        <v>101</v>
      </c>
      <c r="S13">
        <f>IF(J_V="SI",0,Datos!AI13)</f>
        <v>82</v>
      </c>
      <c r="T13">
        <f>IF(J_V="SI",0,Datos!AJ13)</f>
        <v>43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-0.16090909090909092</v>
      </c>
      <c r="E15" s="347">
        <f>IF(ISNUMBER(
   IF(D_I="SI",(Datos!J15-Datos!T15)/Datos!T15,(Datos!J15+Datos!AD15-(Datos!T15+Datos!AL15))/(Datos!T15+Datos!AL15))
     ),IF(D_I="SI",(Datos!J15-Datos!T15)/Datos!T15,(Datos!J15+Datos!AD15-(Datos!T15+Datos!AL15))/(Datos!T15+Datos!AL15))," - ")</f>
        <v>-8.400884303610906E-2</v>
      </c>
      <c r="F15" s="347">
        <f>IF(ISNUMBER(
   IF(D_I="SI",(Datos!K15-Datos!U15)/Datos!U15,(Datos!K15+Datos!AE15-(Datos!U15+Datos!AM15))/(Datos!U15+Datos!AM15))
     ),IF(D_I="SI",(Datos!K15-Datos!U15)/Datos!U15,(Datos!K15+Datos!AE15-(Datos!U15+Datos!AM15))/(Datos!U15+Datos!AM15))," - ")</f>
        <v>-0.12550607287449392</v>
      </c>
      <c r="G15" s="348">
        <f>IF(ISNUMBER(
   IF(D_I="SI",(Datos!L15-Datos!V15)/Datos!V15,(Datos!L15+Datos!AF15-(Datos!V15+Datos!AN15))/(Datos!V15+Datos!AN15))
     ),IF(D_I="SI",(Datos!L15-Datos!V15)/Datos!V15,(Datos!L15+Datos!AF15-(Datos!V15+Datos!AN15))/(Datos!V15+Datos!AN15))," - ")</f>
        <v>-5.7977958792525153E-2</v>
      </c>
      <c r="H15" s="229">
        <f>IF(ISNUMBER((Datos!M15-Datos!W15)/Datos!W15),(Datos!M15-Datos!W15)/Datos!W15," - ")</f>
        <v>-1.8181818181818181E-2</v>
      </c>
      <c r="I15" s="349">
        <f>IF(ISNUMBER((Tasas!C15-Datos!BE15)/Datos!BE15),(Tasas!C15-Datos!BE15)/Datos!BE15," - ")</f>
        <v>7.7219648973362393E-2</v>
      </c>
      <c r="J15" s="348">
        <f>IF(ISNUMBER((Tasas!D15-Datos!BF15)/Datos!BF15),(Tasas!D15-Datos!BF15)/Datos!BF15," - ")</f>
        <v>0.12272727272727256</v>
      </c>
      <c r="K15" s="350">
        <f>IF(ISNUMBER((Tasas!E15-Datos!BG15)/Datos!BG15),(Tasas!E15-Datos!BG15)/Datos!BG15," - ")</f>
        <v>-6.9359843396953631E-3</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-0.49342105263157893</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-0.53846153846153844</v>
      </c>
      <c r="G17" s="348">
        <f>IF(ISNUMBER(
   IF(D_I="SI",(Datos!L17-Datos!V17)/Datos!V17,(Datos!L17+Datos!AF17-(Datos!V17+Datos!AN17))/(Datos!V17+Datos!AN17))
     ),IF(D_I="SI",(Datos!L17-Datos!V17)/Datos!V17,(Datos!L17+Datos!AF17-(Datos!V17+Datos!AN17))/(Datos!V17+Datos!AN17))," - ")</f>
        <v>-0.52272727272727271</v>
      </c>
      <c r="H17" s="229">
        <f>IF(ISNUMBER((Datos!M17-Datos!W17)/Datos!W17),(Datos!M17-Datos!W17)/Datos!W17," - ")</f>
        <v>-1</v>
      </c>
      <c r="I17" s="349">
        <f>IF(ISNUMBER((Tasas!C17-Datos!BE17)/Datos!BE17),(Tasas!C17-Datos!BE17)/Datos!BE17," - ")</f>
        <v>3.4090909090909144E-2</v>
      </c>
      <c r="J17" s="348">
        <f>IF(ISNUMBER((Tasas!D17-Datos!BF17)/Datos!BF17),(Tasas!D17-Datos!BF17)/Datos!BF17," - ")</f>
        <v>-1</v>
      </c>
      <c r="K17" s="350">
        <f>IF(ISNUMBER((Tasas!E17-Datos!BG17)/Datos!BG17),(Tasas!E17-Datos!BG17)/Datos!BG17," - ")</f>
        <v>0.125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0.15272727272727274</v>
      </c>
      <c r="E18" s="347">
        <f>IF(ISNUMBER(
   IF(D_I="SI",(Datos!J18-Datos!T18)/Datos!T18,(Datos!J18+Datos!AD18-(Datos!T18+Datos!AL18))/(Datos!T18+Datos!AL18))
     ),IF(D_I="SI",(Datos!J18-Datos!T18)/Datos!T18,(Datos!J18+Datos!AD18-(Datos!T18+Datos!AL18))/(Datos!T18+Datos!AL18))," - ")</f>
        <v>-0.29457364341085274</v>
      </c>
      <c r="F18" s="347">
        <f>IF(ISNUMBER(
   IF(D_I="SI",(Datos!K18-Datos!U18)/Datos!U18,(Datos!K18+Datos!AE18-(Datos!U18+Datos!AM18))/(Datos!U18+Datos!AM18))
     ),IF(D_I="SI",(Datos!K18-Datos!U18)/Datos!U18,(Datos!K18+Datos!AE18-(Datos!U18+Datos!AM18))/(Datos!U18+Datos!AM18))," - ")</f>
        <v>0.36065573770491804</v>
      </c>
      <c r="G18" s="348">
        <f>IF(ISNUMBER(
   IF(D_I="SI",(Datos!L18-Datos!V18)/Datos!V18,(Datos!L18+Datos!AF18-(Datos!V18+Datos!AN18))/(Datos!V18+Datos!AN18))
     ),IF(D_I="SI",(Datos!L18-Datos!V18)/Datos!V18,(Datos!L18+Datos!AF18-(Datos!V18+Datos!AN18))/(Datos!V18+Datos!AN18))," - ")</f>
        <v>-2.3323615160349854E-2</v>
      </c>
      <c r="H18" s="229">
        <f>IF(ISNUMBER((Datos!M18-Datos!W18)/Datos!W18),(Datos!M18-Datos!W18)/Datos!W18," - ")</f>
        <v>-0.8571428571428571</v>
      </c>
      <c r="I18" s="349">
        <f>IF(ISNUMBER((Tasas!C18-Datos!BE18)/Datos!BE18),(Tasas!C18-Datos!BE18)/Datos!BE18," - ")</f>
        <v>-0.28220169306965481</v>
      </c>
      <c r="J18" s="348">
        <f>IF(ISNUMBER((Tasas!D18-Datos!BF18)/Datos!BF18),(Tasas!D18-Datos!BF18)/Datos!BF18," - ")</f>
        <v>-0.89500860585197939</v>
      </c>
      <c r="K18" s="350">
        <f>IF(ISNUMBER((Tasas!E18-Datos!BG18)/Datos!BG18),(Tasas!E18-Datos!BG18)/Datos!BG18," - ")</f>
        <v>-0.2577836096862699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-0.14731633041492195</v>
      </c>
      <c r="E19" s="353">
        <f>IF(ISNUMBER(
   IF(D_I="SI",(Datos!J19-Datos!T19)/Datos!T19,(Datos!J19+Datos!AD19-(Datos!T19+Datos!AL19))/(Datos!T19+Datos!AL19))
     ),IF(D_I="SI",(Datos!J19-Datos!T19)/Datos!T19,(Datos!J19+Datos!AD19-(Datos!T19+Datos!AL19))/(Datos!T19+Datos!AL19))," - ")</f>
        <v>-0.10201342281879194</v>
      </c>
      <c r="F19" s="353">
        <f>IF(ISNUMBER(
   IF(D_I="SI",(Datos!K19-Datos!U19)/Datos!U19,(Datos!K19+Datos!AE19-(Datos!U19+Datos!AM19))/(Datos!U19+Datos!AM19))
     ),IF(D_I="SI",(Datos!K19-Datos!U19)/Datos!U19,(Datos!K19+Datos!AE19-(Datos!U19+Datos!AM19))/(Datos!U19+Datos!AM19))," - ")</f>
        <v>-0.11344805608667942</v>
      </c>
      <c r="G19" s="354">
        <f>IF(ISNUMBER(
   IF(D_I="SI",(Datos!L19-Datos!V19)/Datos!V19,(Datos!L19+Datos!AF19-(Datos!V19+Datos!AN19))/(Datos!V19+Datos!AN19))
     ),IF(D_I="SI",(Datos!L19-Datos!V19)/Datos!V19,(Datos!L19+Datos!AF19-(Datos!V19+Datos!AN19))/(Datos!V19+Datos!AN19))," - ")</f>
        <v>-7.7283372365339581E-2</v>
      </c>
      <c r="H19" s="355">
        <f>IF(ISNUMBER((Datos!M19-Datos!W19)/Datos!W19),(Datos!M19-Datos!W19)/Datos!W19," - ")</f>
        <v>-7.2340425531914887E-2</v>
      </c>
      <c r="I19" s="356">
        <f>IF(ISNUMBER((Tasas!C19-Datos!BE19)/Datos!BE19),(Tasas!C19-Datos!BE19)/Datos!BE19," - ")</f>
        <v>4.0792515283092884E-2</v>
      </c>
      <c r="J19" s="354">
        <f>IF(ISNUMBER((Tasas!D19-Datos!BF19)/Datos!BF19),(Tasas!D19-Datos!BF19)/Datos!BF19," - ")</f>
        <v>4.6367988742218154E-2</v>
      </c>
      <c r="K19" s="357">
        <f>IF(ISNUMBER((Tasas!E19-Datos!BG19)/Datos!BG19),(Tasas!E19-Datos!BG19)/Datos!BG19," - ")</f>
        <v>-1.9708396407244772E-2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-0.25941921072226359</v>
      </c>
      <c r="E20" s="362">
        <f>IF(ISNUMBER(
   IF(J_V="SI",(Datos!J20-Datos!T20)/Datos!T20,(Datos!J20+Datos!Z20-(Datos!T20+Datos!AH20))/(Datos!T20+Datos!AH20))
     ),IF(J_V="SI",(Datos!J20-Datos!T20)/Datos!T20,(Datos!J20+Datos!Z20-(Datos!T20+Datos!AH20))/(Datos!T20+Datos!AH20))," - ")</f>
        <v>-0.35336166924265844</v>
      </c>
      <c r="F20" s="362">
        <f>IF(ISNUMBER(
   IF(J_V="SI",(Datos!K20-Datos!U20)/Datos!U20,(Datos!K20+Datos!AA20-(Datos!U20+Datos!AI20))/(Datos!U20+Datos!AI20))
     ),IF(J_V="SI",(Datos!K20-Datos!U20)/Datos!U20,(Datos!K20+Datos!AA20-(Datos!U20+Datos!AI20))/(Datos!U20+Datos!AI20))," - ")</f>
        <v>-0.17964912280701753</v>
      </c>
      <c r="G20" s="363">
        <f>IF(ISNUMBER(
   IF(J_V="SI",(Datos!L20-Datos!V20)/Datos!V20,(Datos!L20+Datos!AB20-(Datos!V20+Datos!AJ20))/(Datos!V20+Datos!AJ20))
     ),IF(J_V="SI",(Datos!L20-Datos!V20)/Datos!V20,(Datos!L20+Datos!AB20-(Datos!V20+Datos!AJ20))/(Datos!V20+Datos!AJ20))," - ")</f>
        <v>-0.34674354606211505</v>
      </c>
      <c r="H20" s="364">
        <f>IF(ISNUMBER((Datos!M20-Datos!W20)/Datos!W20),(Datos!M20-Datos!W20)/Datos!W20," - ")</f>
        <v>-0.2185430463576159</v>
      </c>
      <c r="I20" s="361">
        <f>IF(ISNUMBER((Tasas!C20-Datos!BE20)/Datos!BE20),(Tasas!C20-Datos!BE20)/Datos!BE20," - ")</f>
        <v>-0.20368652963089307</v>
      </c>
      <c r="J20" s="362">
        <f>IF(ISNUMBER((Tasas!D20-Datos!BF20)/Datos!BF20),(Tasas!D20-Datos!BF20)/Datos!BF20," - ")</f>
        <v>0.21256808977258493</v>
      </c>
      <c r="K20" s="363">
        <f>IF(ISNUMBER((Tasas!E20-Datos!BG20)/Datos!BG20),(Tasas!E20-Datos!BG20)/Datos!BG20," - ")</f>
        <v>-0.14708588757346006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0.73511212044527152</v>
      </c>
      <c r="E22" s="277">
        <f t="shared" si="1"/>
        <v>0.21111296689061329</v>
      </c>
      <c r="F22" s="277">
        <f t="shared" si="1"/>
        <v>0.34209799052990281</v>
      </c>
      <c r="G22" s="278">
        <f t="shared" si="1"/>
        <v>0.44843956354969644</v>
      </c>
      <c r="H22" s="284">
        <f t="shared" si="1"/>
        <v>0.44363795896106062</v>
      </c>
      <c r="I22" s="276">
        <f t="shared" si="1"/>
        <v>0.70793790529343803</v>
      </c>
      <c r="J22" s="277">
        <f t="shared" si="1"/>
        <v>0.59719328668067528</v>
      </c>
      <c r="K22" s="278">
        <f t="shared" si="1"/>
        <v>0.74491003932885747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yHFdlKCAwYxy1ImZxMc2eGUIfdT0LCzqSQ7vgk3OV5QlfsjhTL+t/Fw3sEqBVAIFZDJK3K8GIeYu29H0XMDEMw==" saltValue="l1dA0OM0B1wXQ8dfAf3HX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